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32.xml" ContentType="application/vnd.ms-excel.controlproperties+xml"/>
  <Override PartName="/xl/ctrlProps/ctrlProp33.xml" ContentType="application/vnd.ms-excel.controlproperties+xml"/>
  <Override PartName="/xl/drawings/drawing12.xml" ContentType="application/vnd.openxmlformats-officedocument.drawing+xml"/>
  <Override PartName="/xl/embeddings/oleObject5.bin" ContentType="application/vnd.openxmlformats-officedocument.oleObject"/>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embeddings/oleObject6.bin" ContentType="application/vnd.openxmlformats-officedocument.oleObject"/>
  <Override PartName="/xl/ctrlProps/ctrlProp46.xml" ContentType="application/vnd.ms-excel.controlproperties+xml"/>
  <Override PartName="/xl/ctrlProps/ctrlProp47.xml" ContentType="application/vnd.ms-excel.controlproperties+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always" codeName="ThisWorkbook" defaultThemeVersion="124226"/>
  <mc:AlternateContent xmlns:mc="http://schemas.openxmlformats.org/markup-compatibility/2006">
    <mc:Choice Requires="x15">
      <x15ac:absPath xmlns:x15ac="http://schemas.microsoft.com/office/spreadsheetml/2010/11/ac" url="S:\- Communications\Forms\Environmental Health\OSTS\"/>
    </mc:Choice>
  </mc:AlternateContent>
  <xr:revisionPtr revIDLastSave="0" documentId="13_ncr:1_{528F6ACA-4A8F-4D5D-9441-7EA678A4F00D}" xr6:coauthVersionLast="47" xr6:coauthVersionMax="47" xr10:uidLastSave="{00000000-0000-0000-0000-000000000000}"/>
  <bookViews>
    <workbookView xWindow="-120" yWindow="-120" windowWidth="29040" windowHeight="15720" tabRatio="902" xr2:uid="{00000000-000D-0000-FFFF-FFFF00000000}"/>
  </bookViews>
  <sheets>
    <sheet name="Instructions" sheetId="43" r:id="rId1"/>
    <sheet name="Intro-Basic" sheetId="2" state="hidden" r:id="rId2"/>
    <sheet name="Design Summary" sheetId="10" r:id="rId3"/>
    <sheet name="Design Sketch" sheetId="11" state="hidden" r:id="rId4"/>
    <sheet name="Trench" sheetId="12" state="hidden" r:id="rId5"/>
    <sheet name="Bed " sheetId="13" state="hidden" r:id="rId6"/>
    <sheet name="Mound &lt;1%" sheetId="14" r:id="rId7"/>
    <sheet name="Mound &gt;1%" sheetId="15" r:id="rId8"/>
    <sheet name="Mound Mat." sheetId="16" r:id="rId9"/>
    <sheet name="At-Grade" sheetId="17" r:id="rId10"/>
    <sheet name="Pres. Dist." sheetId="19" r:id="rId11"/>
    <sheet name="Non-Level Pres. Dist." sheetId="20" r:id="rId12"/>
    <sheet name="Pump-Basic (1) " sheetId="21" r:id="rId13"/>
    <sheet name="Pump Tank (1) Demand Dose" sheetId="22" r:id="rId14"/>
    <sheet name="Pump-Tank (1) Time Dose" sheetId="40" r:id="rId15"/>
    <sheet name="Pump-Basic (2)" sheetId="23" r:id="rId16"/>
    <sheet name="Pump Tank (2) Demand Dose" sheetId="42" r:id="rId17"/>
    <sheet name="Pump Tank (2) Time Dose" sheetId="41" r:id="rId18"/>
    <sheet name="Pump-Collection" sheetId="25" r:id="rId19"/>
    <sheet name="Table IX &amp; IXa" sheetId="33" state="hidden" r:id="rId20"/>
    <sheet name="Table I" sheetId="35" state="hidden" r:id="rId21"/>
    <sheet name="Table IV" sheetId="36" state="hidden" r:id="rId22"/>
    <sheet name="Drop-Down Lists" sheetId="38" state="hidden" r:id="rId23"/>
    <sheet name="Sheet1" sheetId="44" r:id="rId24"/>
  </sheets>
  <externalReferences>
    <externalReference r:id="rId25"/>
  </externalReferences>
  <definedNames>
    <definedName name="_10___45_gpm" localSheetId="15">'Pump-Basic (2)'!$N$6</definedName>
    <definedName name="_10___45_gpm">'Pump-Basic (1) '!$N$6</definedName>
    <definedName name="_xlnm._FilterDatabase" localSheetId="2" hidden="1">'Design Summary'!$A$67:$T$74</definedName>
    <definedName name="AtGradeDown" localSheetId="0">'[1]Drop-Down Lists'!$H$2:$H$27</definedName>
    <definedName name="AtGradeDown">'Drop-Down Lists'!$H$2:$H$27</definedName>
    <definedName name="AtGradeUp" localSheetId="0">'[1]Drop-Down Lists'!$G$2:$G$27</definedName>
    <definedName name="AtGradeUp">'Drop-Down Lists'!$G$2:$G$27</definedName>
    <definedName name="Bedrooms">'Drop-Down Lists'!$A$35:$A$42</definedName>
    <definedName name="CLR" localSheetId="0">'[1]Drop-Down Lists'!$G$30:$G$49</definedName>
    <definedName name="CLR">'Drop-Down Lists'!$G$30:$G$49</definedName>
    <definedName name="CoarseFragments">'Drop-Down Lists'!$J$43:$J$45</definedName>
    <definedName name="DepthAlarm" localSheetId="0">'[1]Drop-Down Lists'!$B$30:$B$31</definedName>
    <definedName name="DepthAlarm">'Drop-Down Lists'!$B$30:$B$31</definedName>
    <definedName name="DepthPipe">'Drop-Down Lists'!$D$38:$D$39</definedName>
    <definedName name="DispersalMedia">'Drop-Down Lists'!$J$2:$J$3</definedName>
    <definedName name="DistHeadLoss" localSheetId="0">'[1]Drop-Down Lists'!$E$41:$E$45</definedName>
    <definedName name="DistHeadLoss">'Drop-Down Lists'!$E$41:$E$45</definedName>
    <definedName name="DistMedia">'Drop-Down Lists'!$E$35:$E$38</definedName>
    <definedName name="DistType" localSheetId="0">'[1]Drop-Down Lists'!$L$69:$L$71</definedName>
    <definedName name="DistType">'Drop-Down Lists'!$L$69:$L$71</definedName>
    <definedName name="EffScreen">'Drop-Down Lists'!$D$30:$D$31</definedName>
    <definedName name="EndCenter">'Drop-Down Lists'!$B$27:$B$28</definedName>
    <definedName name="FlowClass">'Drop-Down Lists'!$J$6:$J$9</definedName>
    <definedName name="Gravity_Or_Pressure" localSheetId="0">'[1]Drop-Down Lists'!$L$74:$L$75</definedName>
    <definedName name="Gravity_Or_Pressure">'Drop-Down Lists'!$L$74:$L$75</definedName>
    <definedName name="Hue">'Drop-Down Lists'!$D$48:$D$57</definedName>
    <definedName name="LandscapePosition">'Drop-Down Lists'!$D$2:$D$6</definedName>
    <definedName name="Laterals">'Drop-Down Lists'!$K$2:$K$21</definedName>
    <definedName name="MediaDepth" localSheetId="0">'[1]Drop-Down Lists'!$J$34:$J$36</definedName>
    <definedName name="MediaDepth">'Drop-Down Lists'!$J$34:$J$36</definedName>
    <definedName name="MediaLoadRate" localSheetId="0">'[1]Drop-Down Lists'!$D$42:$D$44</definedName>
    <definedName name="MediaLoadRate" localSheetId="6">'Drop-Down Lists'!$D$42:$D$44</definedName>
    <definedName name="MediaLoadRate">'Drop-Down Lists'!$D$42:$D$44</definedName>
    <definedName name="MinHead" localSheetId="0">'[1]Drop-Down Lists'!$C$44:$C$47</definedName>
    <definedName name="MinHead">'Drop-Down Lists'!$C$44:$C$47</definedName>
    <definedName name="MoundAbsorptionRatio" localSheetId="0">'[1]Drop-Down Lists'!$J$17:$J$30</definedName>
    <definedName name="MoundAbsorptionRatio">'Drop-Down Lists'!$J$17:$J$30</definedName>
    <definedName name="MPCAType" localSheetId="0">'[1]Drop-Down Lists'!$F$62:$F$66</definedName>
    <definedName name="MPCAType">'Drop-Down Lists'!$F$62:$F$66</definedName>
    <definedName name="Nutrients" localSheetId="0">'[1]Drop-Down Lists'!$J$62:$J$64</definedName>
    <definedName name="Nutrients">'Drop-Down Lists'!$J$62:$J$64</definedName>
    <definedName name="ObservationType">'Drop-Down Lists'!$B$48:$B$50</definedName>
    <definedName name="OtherEstabType">'Drop-Down Lists'!$L$2:$L$46</definedName>
    <definedName name="OtherEstabUnit">'Drop-Down Lists'!$M$2:$M$41</definedName>
    <definedName name="PerfDia" localSheetId="0">'[1]Drop-Down Lists'!$D$24:$D$27</definedName>
    <definedName name="PerfDia">'Drop-Down Lists'!$D$24:$D$27</definedName>
    <definedName name="PerfSpace" localSheetId="0">'[1]Drop-Down Lists'!$B$42:$B$44</definedName>
    <definedName name="PerfSpace">'Drop-Down Lists'!$B$42:$B$44</definedName>
    <definedName name="PipeDia" localSheetId="0">'[1]Drop-Down Lists'!$I$2:$I$8</definedName>
    <definedName name="PipeDia">'Drop-Down Lists'!$I$2:$I$8</definedName>
    <definedName name="_xlnm.Print_Area" localSheetId="9">'At-Grade'!$A$1:$N$122</definedName>
    <definedName name="_xlnm.Print_Area" localSheetId="5">'Bed '!$A$1:$S$63</definedName>
    <definedName name="_xlnm.Print_Area" localSheetId="3">'Design Sketch'!$A$1:$AJ$51</definedName>
    <definedName name="_xlnm.Print_Area" localSheetId="2">'Design Summary'!$A$1:$T$146</definedName>
    <definedName name="_xlnm.Print_Area" localSheetId="22">'Drop-Down Lists'!$A$1:$M$47</definedName>
    <definedName name="_xlnm.Print_Area" localSheetId="1">'Intro-Basic'!$A$1:$K$40</definedName>
    <definedName name="_xlnm.Print_Area" localSheetId="6">'Mound &lt;1%'!$A$1:$R$145</definedName>
    <definedName name="_xlnm.Print_Area" localSheetId="7">'Mound &gt;1%'!$A$1:$S$141</definedName>
    <definedName name="_xlnm.Print_Area" localSheetId="8">'Mound Mat.'!$A$1:$S$62</definedName>
    <definedName name="_xlnm.Print_Area" localSheetId="11">'Non-Level Pres. Dist.'!$A$1:$T$196</definedName>
    <definedName name="_xlnm.Print_Area" localSheetId="10">'Pres. Dist.'!$A$1:$R$83</definedName>
    <definedName name="_xlnm.Print_Area" localSheetId="13">'Pump Tank (1) Demand Dose'!$A$1:$T$56</definedName>
    <definedName name="_xlnm.Print_Area" localSheetId="16">'Pump Tank (2) Demand Dose'!$A$1:$T$55</definedName>
    <definedName name="_xlnm.Print_Area" localSheetId="17">'Pump Tank (2) Time Dose'!$A$1:$T$63</definedName>
    <definedName name="_xlnm.Print_Area" localSheetId="12">'Pump-Basic (1) '!$A$1:$S$56</definedName>
    <definedName name="_xlnm.Print_Area" localSheetId="15">'Pump-Basic (2)'!$A$1:$S$55</definedName>
    <definedName name="_xlnm.Print_Area" localSheetId="18">'Pump-Collection'!$A$1:$T$54</definedName>
    <definedName name="_xlnm.Print_Area" localSheetId="14">'Pump-Tank (1) Time Dose'!$A$1:$T$63</definedName>
    <definedName name="_xlnm.Print_Area" localSheetId="20">'Table I'!$A$1:$C$106</definedName>
    <definedName name="_xlnm.Print_Area" localSheetId="21">'Table IV'!$A$1:$F$16</definedName>
    <definedName name="_xlnm.Print_Area" localSheetId="19">'Table IX &amp; IXa'!$A$1:$F$31</definedName>
    <definedName name="_xlnm.Print_Area" localSheetId="4">Trench!$A$1:$S$108</definedName>
    <definedName name="_xlnm.Print_Titles" localSheetId="2">'Design Summary'!$1:$1</definedName>
    <definedName name="_xlnm.Print_Titles" localSheetId="11">'Non-Level Pres. Dist.'!$1:$1</definedName>
    <definedName name="_xlnm.Print_Titles" localSheetId="10">'Pres. Dist.'!$1:$1</definedName>
    <definedName name="_xlnm.Print_Titles" localSheetId="13">'Pump Tank (1) Demand Dose'!$1:$1</definedName>
    <definedName name="_xlnm.Print_Titles" localSheetId="18">'Pump-Collection'!$1:$1</definedName>
    <definedName name="_xlnm.Print_Titles" localSheetId="20">'Table I'!$1:$4</definedName>
    <definedName name="PumpTankDesc">'Drop-Down Lists'!$J$54:$J$59</definedName>
    <definedName name="PumpTankType">'Drop-Down Lists'!$B$60:$B$61</definedName>
    <definedName name="PumpType" localSheetId="0">'[1]Drop-Down Lists'!$B$53:$B$54</definedName>
    <definedName name="PumpType">'Drop-Down Lists'!$B$53:$B$54</definedName>
    <definedName name="RedoxIndicators">'Drop-Down Lists'!$F$2:$F$33</definedName>
    <definedName name="RedoxKind">'Drop-Down Lists'!$C$13:$C$19</definedName>
    <definedName name="Reduction">'Drop-Down Lists'!$D$34:$D$35</definedName>
    <definedName name="RockFragments">'Drop-Down Lists'!$J$43:$J$47</definedName>
    <definedName name="Sandy_Soil_Options" localSheetId="0">'[1]Drop-Down Lists'!$J$49:$J$51</definedName>
    <definedName name="Sandy_Soil_Options">'Drop-Down Lists'!$J$49:$J$51</definedName>
    <definedName name="SHLR" localSheetId="0">'[1]Drop-Down Lists'!$C$28:$C$40</definedName>
    <definedName name="SHLR">'Drop-Down Lists'!$C$28:$C$40</definedName>
    <definedName name="SizeMult">'Drop-Down Lists'!$C$50:$C$51</definedName>
    <definedName name="Slope" localSheetId="0">'[1]Drop-Down Lists'!$A$2:$A$32</definedName>
    <definedName name="Slope">'Drop-Down Lists'!$A$2:$A$32</definedName>
    <definedName name="SlopeShape">'Drop-Down Lists'!$C$2:$C$10</definedName>
    <definedName name="SoilTexture7080" localSheetId="0">'[1]Drop-Down Lists'!$B$2:$B$25</definedName>
    <definedName name="SoilTexture7080">'Drop-Down Lists'!$B$2:$B$25</definedName>
    <definedName name="SoilTextureOSTP">'Drop-Down Lists'!$E$2:$E$24</definedName>
    <definedName name="solver_cvg" localSheetId="7" hidden="1">0.0001</definedName>
    <definedName name="solver_drv" localSheetId="7" hidden="1">1</definedName>
    <definedName name="solver_est" localSheetId="7" hidden="1">1</definedName>
    <definedName name="solver_itr" localSheetId="7" hidden="1">100</definedName>
    <definedName name="solver_lin" localSheetId="7" hidden="1">2</definedName>
    <definedName name="solver_neg" localSheetId="7" hidden="1">2</definedName>
    <definedName name="solver_num" localSheetId="7" hidden="1">0</definedName>
    <definedName name="solver_nwt" localSheetId="7" hidden="1">1</definedName>
    <definedName name="solver_opt" localSheetId="7" hidden="1">'Mound &gt;1%'!#REF!</definedName>
    <definedName name="solver_pre" localSheetId="7" hidden="1">0.000001</definedName>
    <definedName name="solver_scl" localSheetId="7" hidden="1">2</definedName>
    <definedName name="solver_sho" localSheetId="7" hidden="1">2</definedName>
    <definedName name="solver_tim" localSheetId="7" hidden="1">100</definedName>
    <definedName name="solver_tol" localSheetId="7" hidden="1">0.05</definedName>
    <definedName name="solver_typ" localSheetId="7" hidden="1">1</definedName>
    <definedName name="solver_val" localSheetId="7" hidden="1">10</definedName>
    <definedName name="STA" localSheetId="0">'[1]Drop-Down Lists'!$L$62:$L$66</definedName>
    <definedName name="STA">'Drop-Down Lists'!$L$62:$L$66</definedName>
    <definedName name="StructureConsistence">'Drop-Down Lists'!$D$17:$D$21</definedName>
    <definedName name="StructureGrade">'Drop-Down Lists'!$C$22:$C$25</definedName>
    <definedName name="StructureShape">'Drop-Down Lists'!$D$9:$D$14</definedName>
    <definedName name="TankSize">'Drop-Down Lists'!$B$34:$B$39</definedName>
    <definedName name="TreatmentLevel" localSheetId="0">'[1]Drop-Down Lists'!$J$67:$J$71</definedName>
    <definedName name="TreatmentLevel">'Drop-Down Lists'!$J$67:$J$71</definedName>
    <definedName name="TypeOfWastewater" localSheetId="0">'[1]Drop-Down Lists'!$J$74:$J$76</definedName>
    <definedName name="TypeOfWastewater">'Drop-Down Lists'!$J$74:$J$76</definedName>
    <definedName name="ValueChroma">'Drop-Down Lists'!$E$47:$E$87</definedName>
    <definedName name="VolumePipe">'Drop-Down Lists'!$E$27:$E$32</definedName>
    <definedName name="YN">'Drop-Down Lists'!$H$30:$H$31</definedName>
    <definedName name="YNOptional">'Drop-Down Lists'!$I$33:$I$35</definedName>
    <definedName name="Z_3320ADAB_1745_4CE0_B739_BF2E8269138B_.wvu.PrintArea" localSheetId="9" hidden="1">'At-Grade'!$A$1:$Y$87</definedName>
    <definedName name="Z_3320ADAB_1745_4CE0_B739_BF2E8269138B_.wvu.PrintArea" localSheetId="5" hidden="1">'Bed '!$A$1:$S$41</definedName>
    <definedName name="Z_3320ADAB_1745_4CE0_B739_BF2E8269138B_.wvu.PrintArea" localSheetId="2" hidden="1">'Design Summary'!$A$1:$T$147</definedName>
    <definedName name="Z_3320ADAB_1745_4CE0_B739_BF2E8269138B_.wvu.PrintArea" localSheetId="7" hidden="1">'Mound &gt;1%'!$A$1:$AB$141</definedName>
    <definedName name="Z_3320ADAB_1745_4CE0_B739_BF2E8269138B_.wvu.PrintArea" localSheetId="11" hidden="1">'Non-Level Pres. Dist.'!$A$1:$T$189</definedName>
    <definedName name="Z_3320ADAB_1745_4CE0_B739_BF2E8269138B_.wvu.PrintArea" localSheetId="10" hidden="1">'Pres. Dist.'!$A$1:$R$76</definedName>
    <definedName name="Z_3320ADAB_1745_4CE0_B739_BF2E8269138B_.wvu.PrintArea" localSheetId="13" hidden="1">'Pump Tank (1) Demand Dose'!$A$1:$T$55</definedName>
    <definedName name="Z_3320ADAB_1745_4CE0_B739_BF2E8269138B_.wvu.PrintArea" localSheetId="18" hidden="1">'Pump-Collection'!$A$1:$T$54</definedName>
    <definedName name="Z_3320ADAB_1745_4CE0_B739_BF2E8269138B_.wvu.PrintArea" localSheetId="4" hidden="1">Trench!$A$1:$S$101</definedName>
    <definedName name="Z_D1431318_1DB8_4C45_813B_5A8065DFC797_.wvu.PrintArea" localSheetId="9" hidden="1">'At-Grade'!$A$1:$N$122</definedName>
    <definedName name="Z_D1431318_1DB8_4C45_813B_5A8065DFC797_.wvu.PrintArea" localSheetId="5" hidden="1">'Bed '!$A$1:$S$63</definedName>
    <definedName name="Z_D1431318_1DB8_4C45_813B_5A8065DFC797_.wvu.PrintArea" localSheetId="3" hidden="1">'Design Sketch'!$A$1:$AJ$51</definedName>
    <definedName name="Z_D1431318_1DB8_4C45_813B_5A8065DFC797_.wvu.PrintArea" localSheetId="2" hidden="1">'Design Summary'!$A$1:$T$147</definedName>
    <definedName name="Z_D1431318_1DB8_4C45_813B_5A8065DFC797_.wvu.PrintArea" localSheetId="22" hidden="1">'Drop-Down Lists'!$A$1:$M$47</definedName>
    <definedName name="Z_D1431318_1DB8_4C45_813B_5A8065DFC797_.wvu.PrintArea" localSheetId="1" hidden="1">'Intro-Basic'!$A$1:$K$40</definedName>
    <definedName name="Z_D1431318_1DB8_4C45_813B_5A8065DFC797_.wvu.PrintArea" localSheetId="6" hidden="1">'Mound &lt;1%'!$A$1:$R$145</definedName>
    <definedName name="Z_D1431318_1DB8_4C45_813B_5A8065DFC797_.wvu.PrintArea" localSheetId="7" hidden="1">'Mound &gt;1%'!$A$1:$S$141</definedName>
    <definedName name="Z_D1431318_1DB8_4C45_813B_5A8065DFC797_.wvu.PrintArea" localSheetId="8" hidden="1">'Mound Mat.'!$A$1:$S$62</definedName>
    <definedName name="Z_D1431318_1DB8_4C45_813B_5A8065DFC797_.wvu.PrintArea" localSheetId="11" hidden="1">'Non-Level Pres. Dist.'!$A$1:$T$196</definedName>
    <definedName name="Z_D1431318_1DB8_4C45_813B_5A8065DFC797_.wvu.PrintArea" localSheetId="10" hidden="1">'Pres. Dist.'!$A$1:$R$83</definedName>
    <definedName name="Z_D1431318_1DB8_4C45_813B_5A8065DFC797_.wvu.PrintArea" localSheetId="13" hidden="1">'Pump Tank (1) Demand Dose'!$A$1:$T$55</definedName>
    <definedName name="Z_D1431318_1DB8_4C45_813B_5A8065DFC797_.wvu.PrintArea" localSheetId="12" hidden="1">'Pump-Basic (1) '!$A$1:$S$55</definedName>
    <definedName name="Z_D1431318_1DB8_4C45_813B_5A8065DFC797_.wvu.PrintArea" localSheetId="15" hidden="1">'Pump-Basic (2)'!$A$1:$S$55</definedName>
    <definedName name="Z_D1431318_1DB8_4C45_813B_5A8065DFC797_.wvu.PrintArea" localSheetId="18" hidden="1">'Pump-Collection'!$A$1:$T$54</definedName>
    <definedName name="Z_D1431318_1DB8_4C45_813B_5A8065DFC797_.wvu.PrintArea" localSheetId="20" hidden="1">'Table I'!$A$1:$C$106</definedName>
    <definedName name="Z_D1431318_1DB8_4C45_813B_5A8065DFC797_.wvu.PrintArea" localSheetId="21" hidden="1">'Table IV'!$A$1:$F$16</definedName>
    <definedName name="Z_D1431318_1DB8_4C45_813B_5A8065DFC797_.wvu.PrintArea" localSheetId="19" hidden="1">'Table IX &amp; IXa'!$A$1:$F$31</definedName>
    <definedName name="Z_D1431318_1DB8_4C45_813B_5A8065DFC797_.wvu.PrintArea" localSheetId="4" hidden="1">Trench!$A$1:$S$108</definedName>
    <definedName name="Z_D1431318_1DB8_4C45_813B_5A8065DFC797_.wvu.PrintTitles" localSheetId="2" hidden="1">'Design Summary'!$1:$1</definedName>
    <definedName name="Z_D1431318_1DB8_4C45_813B_5A8065DFC797_.wvu.PrintTitles" localSheetId="11" hidden="1">'Non-Level Pres. Dist.'!$1:$1</definedName>
    <definedName name="Z_D1431318_1DB8_4C45_813B_5A8065DFC797_.wvu.PrintTitles" localSheetId="10" hidden="1">'Pres. Dist.'!$1:$1</definedName>
    <definedName name="Z_D1431318_1DB8_4C45_813B_5A8065DFC797_.wvu.PrintTitles" localSheetId="13" hidden="1">'Pump Tank (1) Demand Dose'!$1:$1</definedName>
    <definedName name="Z_D1431318_1DB8_4C45_813B_5A8065DFC797_.wvu.PrintTitles" localSheetId="18" hidden="1">'Pump-Collection'!$1:$1</definedName>
    <definedName name="Z_D1431318_1DB8_4C45_813B_5A8065DFC797_.wvu.PrintTitles" localSheetId="20" hidden="1">'Table I'!$1:$4</definedName>
  </definedNames>
  <calcPr calcId="191029"/>
  <customWorkbookViews>
    <customWorkbookView name="User - Personal View" guid="{3320ADAB-1745-4CE0-B739-BF2E8269138B}" mergeInterval="0" personalView="1" maximized="1" windowWidth="1676" windowHeight="838" tabRatio="853" activeSheetId="1"/>
    <customWorkbookView name="CWLECLA - Personal View" guid="{D1431318-1DB8-4C45-813B-5A8065DFC797}" mergeInterval="0" personalView="1" maximized="1" windowWidth="1600" windowHeight="977" tabRatio="89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6" l="1"/>
  <c r="F78" i="14" l="1"/>
  <c r="F68" i="15"/>
  <c r="AA20" i="40"/>
  <c r="AA20" i="41"/>
  <c r="P57" i="41"/>
  <c r="B62" i="41"/>
  <c r="J62" i="41"/>
  <c r="J62" i="40"/>
  <c r="P57" i="40"/>
  <c r="I95" i="17"/>
  <c r="J50" i="42"/>
  <c r="G50" i="42"/>
  <c r="G54" i="42" s="1"/>
  <c r="C50" i="42"/>
  <c r="P52" i="42"/>
  <c r="G47" i="42"/>
  <c r="N48" i="40"/>
  <c r="J18" i="17"/>
  <c r="G23" i="17" s="1"/>
  <c r="J23" i="17" s="1"/>
  <c r="I19" i="10"/>
  <c r="G62" i="13"/>
  <c r="S2" i="21"/>
  <c r="S2" i="23"/>
  <c r="T2" i="40"/>
  <c r="M19" i="10"/>
  <c r="P19" i="10"/>
  <c r="AC40" i="10"/>
  <c r="D37" i="13"/>
  <c r="J47" i="12"/>
  <c r="K190" i="20"/>
  <c r="Q4" i="16"/>
  <c r="R36" i="10"/>
  <c r="Q32" i="10"/>
  <c r="Q30" i="10"/>
  <c r="H36" i="10"/>
  <c r="G32" i="10"/>
  <c r="G30" i="10"/>
  <c r="S61" i="41"/>
  <c r="S60" i="41"/>
  <c r="F59" i="41"/>
  <c r="G48" i="41"/>
  <c r="N48" i="41"/>
  <c r="J42" i="41"/>
  <c r="F42" i="41"/>
  <c r="C40" i="41"/>
  <c r="J34" i="41"/>
  <c r="J32" i="41"/>
  <c r="J36" i="41"/>
  <c r="F38" i="41"/>
  <c r="G30" i="41"/>
  <c r="K30" i="41"/>
  <c r="E56" i="41" s="1"/>
  <c r="E25" i="41"/>
  <c r="C30" i="41"/>
  <c r="N23" i="41"/>
  <c r="H21" i="41"/>
  <c r="N21" i="41"/>
  <c r="B59" i="41" s="1"/>
  <c r="K59" i="41"/>
  <c r="P60" i="41"/>
  <c r="AF20" i="41"/>
  <c r="W20" i="41"/>
  <c r="AF15" i="41"/>
  <c r="AE11" i="41"/>
  <c r="AE6" i="41"/>
  <c r="I4" i="41"/>
  <c r="T2" i="41"/>
  <c r="N2" i="41"/>
  <c r="J54" i="42"/>
  <c r="P50" i="42"/>
  <c r="S53" i="42"/>
  <c r="Q53" i="42"/>
  <c r="S52" i="42"/>
  <c r="J52" i="42"/>
  <c r="C54" i="42"/>
  <c r="S51" i="42"/>
  <c r="K47" i="42"/>
  <c r="G52" i="42" s="1"/>
  <c r="J42" i="42"/>
  <c r="R51" i="42"/>
  <c r="F42" i="42"/>
  <c r="I40" i="42"/>
  <c r="C47" i="42"/>
  <c r="R52" i="42" s="1"/>
  <c r="C40" i="42"/>
  <c r="J38" i="42"/>
  <c r="F40" i="42" s="1"/>
  <c r="J36" i="42"/>
  <c r="F38" i="42"/>
  <c r="J34" i="42"/>
  <c r="C38" i="42" s="1"/>
  <c r="J32" i="42"/>
  <c r="K30" i="42"/>
  <c r="G30" i="42"/>
  <c r="N25" i="42"/>
  <c r="E25" i="42"/>
  <c r="C30" i="42"/>
  <c r="N23" i="42"/>
  <c r="N21" i="42"/>
  <c r="H21" i="42"/>
  <c r="AF20" i="42"/>
  <c r="W20" i="42"/>
  <c r="AF15" i="42"/>
  <c r="AA20" i="42" s="1"/>
  <c r="AE11" i="42"/>
  <c r="AE6" i="42"/>
  <c r="I4" i="42"/>
  <c r="T2" i="42"/>
  <c r="N2" i="42"/>
  <c r="B62" i="40"/>
  <c r="F59" i="40"/>
  <c r="G48" i="40"/>
  <c r="I4" i="22"/>
  <c r="S61" i="40"/>
  <c r="S60" i="40"/>
  <c r="C40" i="40"/>
  <c r="J34" i="40"/>
  <c r="J32" i="40"/>
  <c r="J36" i="40"/>
  <c r="F38" i="40"/>
  <c r="G30" i="40"/>
  <c r="E25" i="40"/>
  <c r="C30" i="40" s="1"/>
  <c r="N25" i="40"/>
  <c r="N23" i="40"/>
  <c r="AF20" i="40"/>
  <c r="W20" i="40"/>
  <c r="AF15" i="40"/>
  <c r="H21" i="40"/>
  <c r="N21" i="40"/>
  <c r="R61" i="40"/>
  <c r="F42" i="40"/>
  <c r="J42" i="40"/>
  <c r="AE11" i="40"/>
  <c r="AE6" i="40"/>
  <c r="I4" i="40"/>
  <c r="N2" i="40"/>
  <c r="S51" i="22"/>
  <c r="S52" i="22"/>
  <c r="S53" i="22"/>
  <c r="G50" i="22"/>
  <c r="C50" i="22"/>
  <c r="G47" i="22"/>
  <c r="Y40" i="10"/>
  <c r="G14" i="16" s="1"/>
  <c r="G66" i="14"/>
  <c r="Q144" i="10"/>
  <c r="H128" i="10"/>
  <c r="B122" i="10"/>
  <c r="M39" i="12"/>
  <c r="G52" i="12"/>
  <c r="J66" i="14"/>
  <c r="D66" i="14"/>
  <c r="J39" i="12"/>
  <c r="N36" i="10"/>
  <c r="D36" i="10"/>
  <c r="J90" i="12"/>
  <c r="N2" i="22"/>
  <c r="J42" i="12"/>
  <c r="K2" i="25"/>
  <c r="T2" i="25"/>
  <c r="G11" i="25"/>
  <c r="J11" i="25"/>
  <c r="A17" i="25"/>
  <c r="H27" i="25"/>
  <c r="K27" i="25"/>
  <c r="H28" i="25"/>
  <c r="K28" i="25"/>
  <c r="H29" i="25"/>
  <c r="K29" i="25"/>
  <c r="H30" i="25"/>
  <c r="K30" i="25"/>
  <c r="H31" i="25"/>
  <c r="K31" i="25"/>
  <c r="H32" i="25"/>
  <c r="K32" i="25"/>
  <c r="H33" i="25"/>
  <c r="K33" i="25"/>
  <c r="H34" i="25"/>
  <c r="K34" i="25"/>
  <c r="H35" i="25"/>
  <c r="K35" i="25"/>
  <c r="K36" i="25"/>
  <c r="K37" i="25"/>
  <c r="K39" i="25"/>
  <c r="E42" i="25"/>
  <c r="B42" i="25"/>
  <c r="H42" i="25"/>
  <c r="D47" i="25"/>
  <c r="M47" i="25"/>
  <c r="D50" i="25"/>
  <c r="H50" i="25"/>
  <c r="K50" i="25"/>
  <c r="H53" i="25"/>
  <c r="N53" i="25"/>
  <c r="K2" i="23"/>
  <c r="E34" i="23"/>
  <c r="B43" i="23"/>
  <c r="B39" i="23"/>
  <c r="H39" i="23"/>
  <c r="H43" i="23"/>
  <c r="N43" i="23"/>
  <c r="M49" i="23" s="1"/>
  <c r="B49" i="23"/>
  <c r="F49" i="23"/>
  <c r="J49" i="23"/>
  <c r="P49" i="23"/>
  <c r="H52" i="23"/>
  <c r="O52" i="23"/>
  <c r="T2" i="22"/>
  <c r="AE6" i="22"/>
  <c r="AE11" i="22"/>
  <c r="AF15" i="22"/>
  <c r="AA20" i="22" s="1"/>
  <c r="H21" i="22"/>
  <c r="N21" i="22"/>
  <c r="W20" i="22"/>
  <c r="E25" i="22"/>
  <c r="C30" i="22"/>
  <c r="K30" i="22"/>
  <c r="G30" i="22"/>
  <c r="J32" i="22"/>
  <c r="C38" i="22"/>
  <c r="J36" i="22"/>
  <c r="F38" i="22"/>
  <c r="J34" i="22"/>
  <c r="C40" i="22"/>
  <c r="K2" i="21"/>
  <c r="B39" i="21"/>
  <c r="H39" i="21"/>
  <c r="H43" i="21"/>
  <c r="B49" i="21"/>
  <c r="F49" i="21"/>
  <c r="J49" i="21"/>
  <c r="K2" i="20"/>
  <c r="T2" i="20"/>
  <c r="L19" i="20"/>
  <c r="O19" i="20"/>
  <c r="R19" i="20"/>
  <c r="E28" i="20"/>
  <c r="H28" i="20"/>
  <c r="B28" i="20"/>
  <c r="D36" i="20"/>
  <c r="G36" i="20"/>
  <c r="J36" i="20"/>
  <c r="N36" i="20"/>
  <c r="F53" i="20"/>
  <c r="O53" i="20"/>
  <c r="E85" i="20"/>
  <c r="D38" i="20"/>
  <c r="G38" i="20"/>
  <c r="J38" i="20"/>
  <c r="N38" i="20"/>
  <c r="F55" i="20"/>
  <c r="D40" i="20"/>
  <c r="G40" i="20"/>
  <c r="J40" i="20"/>
  <c r="N40" i="20"/>
  <c r="F57" i="20"/>
  <c r="D42" i="20"/>
  <c r="G42" i="20"/>
  <c r="J42" i="20"/>
  <c r="N42" i="20"/>
  <c r="F59" i="20"/>
  <c r="D44" i="20"/>
  <c r="G44" i="20"/>
  <c r="J44" i="20"/>
  <c r="N44" i="20"/>
  <c r="F61" i="20" s="1"/>
  <c r="D46" i="20"/>
  <c r="G46" i="20"/>
  <c r="J46" i="20"/>
  <c r="N46" i="20"/>
  <c r="F63" i="20" s="1"/>
  <c r="R53" i="20"/>
  <c r="R55" i="20"/>
  <c r="O57" i="20"/>
  <c r="E125" i="20"/>
  <c r="R57" i="20"/>
  <c r="O59" i="20"/>
  <c r="E137" i="20" s="1"/>
  <c r="R59" i="20"/>
  <c r="O61" i="20"/>
  <c r="E149" i="20"/>
  <c r="R61" i="20"/>
  <c r="O63" i="20"/>
  <c r="E161" i="20" s="1"/>
  <c r="R63" i="20"/>
  <c r="J67" i="20"/>
  <c r="B71" i="20"/>
  <c r="F71" i="20"/>
  <c r="E91" i="20" s="1"/>
  <c r="E76" i="20"/>
  <c r="B109" i="20"/>
  <c r="B117" i="20"/>
  <c r="B121" i="20"/>
  <c r="B129" i="20"/>
  <c r="B133" i="20"/>
  <c r="E133" i="20"/>
  <c r="I133" i="20"/>
  <c r="H172" i="20" s="1"/>
  <c r="H137" i="20"/>
  <c r="G141" i="20"/>
  <c r="B141" i="20"/>
  <c r="M141" i="20"/>
  <c r="N185" i="20"/>
  <c r="P141" i="20"/>
  <c r="B145" i="20"/>
  <c r="E145" i="20"/>
  <c r="I145" i="20"/>
  <c r="B149" i="20" s="1"/>
  <c r="H149" i="20"/>
  <c r="G153" i="20"/>
  <c r="B153" i="20"/>
  <c r="M153" i="20"/>
  <c r="N186" i="20" s="1"/>
  <c r="P153" i="20"/>
  <c r="B157" i="20"/>
  <c r="E157" i="20"/>
  <c r="I157" i="20"/>
  <c r="B161" i="20"/>
  <c r="H161" i="20"/>
  <c r="G165" i="20" s="1"/>
  <c r="B165" i="20"/>
  <c r="M165" i="20"/>
  <c r="N187" i="20" s="1"/>
  <c r="P165" i="20"/>
  <c r="F182" i="20"/>
  <c r="H182" i="20"/>
  <c r="L182" i="20"/>
  <c r="N182" i="20"/>
  <c r="O182" i="20"/>
  <c r="F183" i="20"/>
  <c r="H183" i="20"/>
  <c r="L183" i="20"/>
  <c r="F184" i="20"/>
  <c r="H184" i="20"/>
  <c r="J184" i="20"/>
  <c r="L184" i="20"/>
  <c r="F185" i="20"/>
  <c r="H185" i="20"/>
  <c r="J185" i="20"/>
  <c r="L185" i="20"/>
  <c r="O185" i="20"/>
  <c r="F186" i="20"/>
  <c r="H186" i="20"/>
  <c r="J186" i="20"/>
  <c r="L186" i="20"/>
  <c r="O186" i="20"/>
  <c r="F187" i="20"/>
  <c r="H187" i="20"/>
  <c r="J187" i="20"/>
  <c r="L187" i="20"/>
  <c r="O187" i="20"/>
  <c r="K2" i="19"/>
  <c r="R2" i="19"/>
  <c r="E7" i="19"/>
  <c r="J7" i="19"/>
  <c r="N13" i="19"/>
  <c r="L54" i="19"/>
  <c r="F58" i="19"/>
  <c r="G16" i="19"/>
  <c r="E66" i="19"/>
  <c r="K21" i="19"/>
  <c r="G36" i="19"/>
  <c r="B46" i="19"/>
  <c r="F46" i="19"/>
  <c r="L60" i="19"/>
  <c r="H66" i="19"/>
  <c r="B66" i="19"/>
  <c r="K2" i="17"/>
  <c r="N2" i="17"/>
  <c r="C8" i="17"/>
  <c r="K8" i="17" s="1"/>
  <c r="G10" i="17"/>
  <c r="D23" i="17"/>
  <c r="D31" i="17"/>
  <c r="E45" i="17"/>
  <c r="C47" i="17"/>
  <c r="F47" i="17"/>
  <c r="G55" i="17"/>
  <c r="G58" i="17"/>
  <c r="K2" i="16"/>
  <c r="R2" i="16"/>
  <c r="K21" i="16"/>
  <c r="M34" i="16"/>
  <c r="K2" i="15"/>
  <c r="S2" i="15"/>
  <c r="H26" i="15"/>
  <c r="G31" i="15" s="1"/>
  <c r="K31" i="15"/>
  <c r="D31" i="15"/>
  <c r="G33" i="15"/>
  <c r="D38" i="15"/>
  <c r="J38" i="15" s="1"/>
  <c r="G38" i="15"/>
  <c r="K42" i="15"/>
  <c r="G56" i="15"/>
  <c r="D60" i="15"/>
  <c r="G60" i="15"/>
  <c r="J60" i="15"/>
  <c r="G62" i="15"/>
  <c r="H68" i="15"/>
  <c r="H75" i="15"/>
  <c r="H77" i="15"/>
  <c r="H86" i="15"/>
  <c r="K88" i="15"/>
  <c r="H94" i="15"/>
  <c r="J96" i="15"/>
  <c r="K2" i="14"/>
  <c r="M2" i="14"/>
  <c r="Q2" i="14"/>
  <c r="H28" i="14"/>
  <c r="G34" i="14" s="1"/>
  <c r="K34" i="14"/>
  <c r="D34" i="14"/>
  <c r="G36" i="14"/>
  <c r="D41" i="14"/>
  <c r="G41" i="14"/>
  <c r="G45" i="14"/>
  <c r="D60" i="14"/>
  <c r="G60" i="14"/>
  <c r="J60" i="14"/>
  <c r="I63" i="14" s="1"/>
  <c r="M63" i="14"/>
  <c r="D69" i="14"/>
  <c r="G69" i="14"/>
  <c r="J69" i="14"/>
  <c r="F84" i="14"/>
  <c r="F93" i="14"/>
  <c r="F99" i="14"/>
  <c r="J2" i="13"/>
  <c r="Q2" i="13"/>
  <c r="G25" i="13"/>
  <c r="J31" i="13"/>
  <c r="G53" i="13"/>
  <c r="D58" i="13"/>
  <c r="G58" i="13"/>
  <c r="J2" i="12"/>
  <c r="Q2" i="12"/>
  <c r="K32" i="12"/>
  <c r="C57" i="12"/>
  <c r="G39" i="12"/>
  <c r="J52" i="12"/>
  <c r="N52" i="12"/>
  <c r="F57" i="12"/>
  <c r="I57" i="12"/>
  <c r="K71" i="12"/>
  <c r="G78" i="12"/>
  <c r="J78" i="12"/>
  <c r="M78" i="12"/>
  <c r="D84" i="12"/>
  <c r="G84" i="12"/>
  <c r="J95" i="12"/>
  <c r="J101" i="12"/>
  <c r="N101" i="12"/>
  <c r="AG2" i="11"/>
  <c r="S3" i="10"/>
  <c r="I50" i="10"/>
  <c r="I56" i="10"/>
  <c r="G58" i="10"/>
  <c r="L122" i="10"/>
  <c r="K128" i="10"/>
  <c r="A4" i="2"/>
  <c r="E121" i="20"/>
  <c r="I121" i="20"/>
  <c r="F172" i="20"/>
  <c r="H125" i="20"/>
  <c r="G129" i="20" s="1"/>
  <c r="M129" i="20"/>
  <c r="N184" i="20"/>
  <c r="P129" i="20"/>
  <c r="O184" i="20"/>
  <c r="N11" i="25"/>
  <c r="H47" i="25"/>
  <c r="J46" i="19"/>
  <c r="B50" i="19"/>
  <c r="J58" i="13"/>
  <c r="D53" i="13"/>
  <c r="J53" i="13"/>
  <c r="I56" i="13" s="1"/>
  <c r="D62" i="13"/>
  <c r="J62" i="13"/>
  <c r="M56" i="13"/>
  <c r="AF20" i="22"/>
  <c r="D56" i="15"/>
  <c r="J56" i="15"/>
  <c r="I58" i="15" s="1"/>
  <c r="D62" i="15"/>
  <c r="J62" i="15"/>
  <c r="M58" i="15"/>
  <c r="N25" i="22"/>
  <c r="F42" i="22"/>
  <c r="J42" i="22"/>
  <c r="R51" i="22" s="1"/>
  <c r="G21" i="19"/>
  <c r="Q53" i="22"/>
  <c r="K30" i="40"/>
  <c r="E56" i="40" s="1"/>
  <c r="J38" i="40"/>
  <c r="F40" i="40"/>
  <c r="I40" i="40"/>
  <c r="R60" i="40" s="1"/>
  <c r="K8" i="23"/>
  <c r="G90" i="12"/>
  <c r="N90" i="12"/>
  <c r="J183" i="20"/>
  <c r="J182" i="20"/>
  <c r="K188" i="20"/>
  <c r="K189" i="20"/>
  <c r="N23" i="22"/>
  <c r="B76" i="20"/>
  <c r="O55" i="20"/>
  <c r="E113" i="20" s="1"/>
  <c r="L66" i="19"/>
  <c r="B70" i="19"/>
  <c r="G70" i="19"/>
  <c r="J41" i="14"/>
  <c r="D45" i="14" s="1"/>
  <c r="C87" i="14"/>
  <c r="I47" i="17"/>
  <c r="C112" i="17" s="1"/>
  <c r="J84" i="12"/>
  <c r="I87" i="12" s="1"/>
  <c r="L57" i="12"/>
  <c r="G47" i="12"/>
  <c r="N47" i="12"/>
  <c r="G42" i="12"/>
  <c r="N42" i="12"/>
  <c r="G44" i="12"/>
  <c r="G95" i="12"/>
  <c r="N95" i="12"/>
  <c r="P57" i="12"/>
  <c r="J38" i="22"/>
  <c r="F40" i="22" s="1"/>
  <c r="I40" i="22"/>
  <c r="C47" i="22"/>
  <c r="R52" i="22" s="1"/>
  <c r="K47" i="22"/>
  <c r="G52" i="22" s="1"/>
  <c r="H85" i="20"/>
  <c r="B91" i="20"/>
  <c r="G91" i="20"/>
  <c r="E109" i="20"/>
  <c r="I109" i="20"/>
  <c r="B113" i="20" s="1"/>
  <c r="J25" i="13"/>
  <c r="G31" i="13" s="1"/>
  <c r="J52" i="22"/>
  <c r="C54" i="22"/>
  <c r="N172" i="20"/>
  <c r="K8" i="21"/>
  <c r="H52" i="21"/>
  <c r="H113" i="20"/>
  <c r="G117" i="20" s="1"/>
  <c r="M117" i="20"/>
  <c r="N183" i="20"/>
  <c r="K37" i="13"/>
  <c r="N37" i="13"/>
  <c r="G40" i="13" s="1"/>
  <c r="L40" i="13"/>
  <c r="M31" i="13"/>
  <c r="J54" i="22"/>
  <c r="P50" i="22"/>
  <c r="E34" i="21"/>
  <c r="B43" i="21"/>
  <c r="N43" i="21"/>
  <c r="M49" i="21" s="1"/>
  <c r="P49" i="21"/>
  <c r="O52" i="21"/>
  <c r="P117" i="20"/>
  <c r="O183" i="20"/>
  <c r="C114" i="10"/>
  <c r="K99" i="14"/>
  <c r="F114" i="10"/>
  <c r="L111" i="10"/>
  <c r="N114" i="10"/>
  <c r="F113" i="10"/>
  <c r="C10" i="17"/>
  <c r="K10" i="17"/>
  <c r="F49" i="17" s="1"/>
  <c r="R95" i="10"/>
  <c r="P47" i="25"/>
  <c r="E75" i="14"/>
  <c r="H75" i="14"/>
  <c r="C78" i="14" s="1"/>
  <c r="L78" i="14"/>
  <c r="C81" i="14"/>
  <c r="H8" i="12"/>
  <c r="F12" i="12" s="1"/>
  <c r="L28" i="14"/>
  <c r="D36" i="14"/>
  <c r="J36" i="14"/>
  <c r="K18" i="16" s="1"/>
  <c r="F12" i="17"/>
  <c r="N112" i="10"/>
  <c r="H113" i="10"/>
  <c r="C110" i="10"/>
  <c r="N109" i="10"/>
  <c r="D112" i="10"/>
  <c r="M87" i="12"/>
  <c r="G101" i="12"/>
  <c r="K59" i="40"/>
  <c r="P60" i="40"/>
  <c r="J53" i="40"/>
  <c r="M56" i="40"/>
  <c r="N110" i="10"/>
  <c r="R101" i="10"/>
  <c r="J112" i="10"/>
  <c r="C111" i="10"/>
  <c r="R103" i="10"/>
  <c r="C112" i="10"/>
  <c r="J113" i="10"/>
  <c r="H110" i="10"/>
  <c r="D109" i="10"/>
  <c r="E101" i="10"/>
  <c r="H111" i="10"/>
  <c r="K101" i="10"/>
  <c r="Q113" i="10"/>
  <c r="C109" i="10"/>
  <c r="H112" i="10"/>
  <c r="N111" i="10"/>
  <c r="D114" i="10"/>
  <c r="D113" i="10"/>
  <c r="H109" i="10"/>
  <c r="K103" i="10"/>
  <c r="N113" i="10"/>
  <c r="F109" i="10"/>
  <c r="D110" i="10"/>
  <c r="J109" i="10"/>
  <c r="L24" i="16"/>
  <c r="L45" i="14"/>
  <c r="H21" i="16" s="1"/>
  <c r="H18" i="16"/>
  <c r="H45" i="17"/>
  <c r="K45" i="17"/>
  <c r="C49" i="17" s="1"/>
  <c r="G31" i="17"/>
  <c r="J31" i="17"/>
  <c r="G8" i="17"/>
  <c r="D55" i="17"/>
  <c r="J55" i="17" s="1"/>
  <c r="D60" i="17" s="1"/>
  <c r="O21" i="16"/>
  <c r="I24" i="16" s="1"/>
  <c r="D18" i="16"/>
  <c r="I81" i="14"/>
  <c r="F90" i="14" s="1"/>
  <c r="W44" i="16"/>
  <c r="L25" i="17"/>
  <c r="O18" i="16"/>
  <c r="F24" i="16" s="1"/>
  <c r="O24" i="16"/>
  <c r="L84" i="14"/>
  <c r="F87" i="14"/>
  <c r="I87" i="14"/>
  <c r="C90" i="14"/>
  <c r="I90" i="14"/>
  <c r="C96" i="14" s="1"/>
  <c r="L96" i="14"/>
  <c r="L93" i="14"/>
  <c r="G92" i="12"/>
  <c r="C27" i="12"/>
  <c r="L27" i="12" s="1"/>
  <c r="C64" i="12"/>
  <c r="L64" i="12" s="1"/>
  <c r="L67" i="12"/>
  <c r="L65" i="12"/>
  <c r="L66" i="12"/>
  <c r="L29" i="12"/>
  <c r="L30" i="12"/>
  <c r="L28" i="12"/>
  <c r="H76" i="20"/>
  <c r="B81" i="20" s="1"/>
  <c r="G81" i="20" s="1"/>
  <c r="B85" i="20" s="1"/>
  <c r="J50" i="22"/>
  <c r="C52" i="22" s="1"/>
  <c r="N25" i="41"/>
  <c r="R61" i="41"/>
  <c r="C99" i="14"/>
  <c r="G54" i="22"/>
  <c r="C38" i="41"/>
  <c r="J38" i="41"/>
  <c r="F40" i="41"/>
  <c r="I40" i="41"/>
  <c r="B125" i="20"/>
  <c r="C38" i="40"/>
  <c r="D21" i="16"/>
  <c r="P51" i="22"/>
  <c r="B172" i="20"/>
  <c r="O21" i="19"/>
  <c r="H25" i="19" s="1"/>
  <c r="M25" i="19" s="1"/>
  <c r="B36" i="19" s="1"/>
  <c r="M36" i="19" s="1"/>
  <c r="D58" i="17"/>
  <c r="J58" i="17"/>
  <c r="G60" i="17"/>
  <c r="C12" i="17"/>
  <c r="K12" i="17" s="1"/>
  <c r="P51" i="42"/>
  <c r="P48" i="42"/>
  <c r="K38" i="17"/>
  <c r="P48" i="22"/>
  <c r="C34" i="10"/>
  <c r="J33" i="17"/>
  <c r="L35" i="17"/>
  <c r="C93" i="14"/>
  <c r="L26" i="15"/>
  <c r="L4" i="16"/>
  <c r="O77" i="15"/>
  <c r="K79" i="15" s="1"/>
  <c r="E71" i="10"/>
  <c r="H66" i="15"/>
  <c r="C68" i="15"/>
  <c r="K68" i="15"/>
  <c r="K75" i="15" s="1"/>
  <c r="N75" i="15"/>
  <c r="G96" i="15" s="1"/>
  <c r="L34" i="10"/>
  <c r="Q34" i="10"/>
  <c r="H34" i="10"/>
  <c r="L92" i="17"/>
  <c r="C95" i="17" s="1"/>
  <c r="L95" i="17" s="1"/>
  <c r="J104" i="17" s="1"/>
  <c r="J172" i="20"/>
  <c r="B59" i="40"/>
  <c r="B137" i="20"/>
  <c r="L172" i="20"/>
  <c r="E103" i="10"/>
  <c r="L113" i="10"/>
  <c r="J110" i="10"/>
  <c r="C113" i="10"/>
  <c r="L110" i="10"/>
  <c r="F110" i="10"/>
  <c r="Q110" i="10"/>
  <c r="F112" i="10"/>
  <c r="J114" i="10"/>
  <c r="D111" i="10"/>
  <c r="L112" i="10"/>
  <c r="L114" i="10"/>
  <c r="L109" i="10"/>
  <c r="F111" i="10"/>
  <c r="J111" i="10"/>
  <c r="H114" i="10"/>
  <c r="D33" i="15"/>
  <c r="J33" i="15"/>
  <c r="M28" i="16" s="1"/>
  <c r="N79" i="15"/>
  <c r="K94" i="15" s="1"/>
  <c r="W7" i="16"/>
  <c r="F28" i="16"/>
  <c r="B53" i="41"/>
  <c r="J53" i="41"/>
  <c r="M56" i="41"/>
  <c r="R60" i="41"/>
  <c r="N42" i="15"/>
  <c r="H88" i="15" s="1"/>
  <c r="C52" i="42"/>
  <c r="F31" i="16"/>
  <c r="N94" i="15"/>
  <c r="M98" i="15" s="1"/>
  <c r="P28" i="16"/>
  <c r="M49" i="16"/>
  <c r="M31" i="16"/>
  <c r="M37" i="16"/>
  <c r="V44" i="16"/>
  <c r="N86" i="15"/>
  <c r="F34" i="16"/>
  <c r="P34" i="16"/>
  <c r="J37" i="16"/>
  <c r="N88" i="15"/>
  <c r="J31" i="16"/>
  <c r="P31" i="16"/>
  <c r="P98" i="15"/>
  <c r="P96" i="15"/>
  <c r="P9" i="16"/>
  <c r="M46" i="16"/>
  <c r="P37" i="16"/>
  <c r="K59" i="16"/>
  <c r="P49" i="16"/>
  <c r="P53" i="16"/>
  <c r="F50" i="19" l="1"/>
  <c r="K50" i="19" s="1"/>
  <c r="B58" i="19"/>
  <c r="L58" i="19" s="1"/>
  <c r="D87" i="12"/>
  <c r="D172" i="20"/>
  <c r="B53" i="40"/>
  <c r="C104" i="17"/>
  <c r="P52" i="22"/>
  <c r="K90" i="15"/>
  <c r="M96" i="15" s="1"/>
  <c r="F96" i="14"/>
  <c r="G49" i="16"/>
  <c r="I84" i="14"/>
  <c r="K71" i="10"/>
  <c r="K85" i="10"/>
  <c r="F6" i="17"/>
  <c r="R71" i="10"/>
  <c r="K89" i="10"/>
  <c r="E79" i="10"/>
  <c r="C84" i="14"/>
  <c r="P57" i="16"/>
  <c r="Q89" i="10"/>
  <c r="P40" i="16"/>
  <c r="K42" i="16" s="1"/>
  <c r="P14" i="16"/>
  <c r="E83" i="10"/>
  <c r="H6" i="13"/>
  <c r="I96" i="14"/>
  <c r="R69" i="10"/>
  <c r="J98" i="15"/>
  <c r="K83" i="10"/>
  <c r="H6" i="15"/>
  <c r="H8" i="13"/>
  <c r="F11" i="13" s="1"/>
  <c r="H6" i="14"/>
  <c r="M4" i="17"/>
  <c r="J60" i="17"/>
  <c r="I49" i="17"/>
  <c r="L49" i="17" s="1"/>
  <c r="G25" i="17"/>
  <c r="D33" i="17"/>
  <c r="C98" i="17"/>
  <c r="H98" i="17" s="1"/>
  <c r="H100" i="17" s="1"/>
  <c r="L100" i="17" s="1"/>
  <c r="K86" i="15"/>
  <c r="G98" i="15"/>
  <c r="I93" i="14"/>
  <c r="P46" i="16"/>
  <c r="G57" i="16"/>
  <c r="J57" i="16"/>
  <c r="E69" i="10"/>
  <c r="H8" i="15"/>
  <c r="E66" i="15" s="1"/>
  <c r="H8" i="14"/>
  <c r="J14" i="16"/>
  <c r="Q87" i="10"/>
  <c r="K79" i="10"/>
  <c r="R93" i="10"/>
  <c r="K69" i="10"/>
  <c r="H6" i="12"/>
  <c r="J46" i="16"/>
  <c r="P42" i="16"/>
  <c r="E89" i="10"/>
  <c r="G37" i="16"/>
  <c r="M14" i="16"/>
  <c r="H79" i="15"/>
  <c r="C4" i="16"/>
  <c r="E93" i="10"/>
  <c r="Q83" i="10"/>
  <c r="E97" i="10"/>
  <c r="Q85" i="10"/>
  <c r="R77" i="10"/>
  <c r="H10" i="14"/>
  <c r="D63" i="14"/>
  <c r="K53" i="16"/>
  <c r="P61" i="16"/>
  <c r="K40" i="16"/>
  <c r="K9" i="16"/>
  <c r="D46" i="16"/>
  <c r="P4" i="16"/>
  <c r="J12" i="12"/>
  <c r="H10" i="15"/>
  <c r="K93" i="10"/>
  <c r="F4" i="16"/>
  <c r="R73" i="10"/>
  <c r="H4" i="13"/>
  <c r="C11" i="13" s="1"/>
  <c r="K61" i="16"/>
  <c r="P7" i="16"/>
  <c r="E87" i="10"/>
  <c r="R79" i="10"/>
  <c r="R97" i="10"/>
  <c r="H4" i="15"/>
  <c r="D26" i="15" s="1"/>
  <c r="K77" i="10"/>
  <c r="P51" i="16"/>
  <c r="K87" i="10"/>
  <c r="I4" i="16"/>
  <c r="K51" i="16"/>
  <c r="P59" i="16"/>
  <c r="J49" i="16"/>
  <c r="K7" i="16"/>
  <c r="D37" i="16"/>
  <c r="E77" i="10"/>
  <c r="E85" i="10"/>
  <c r="K95" i="10"/>
  <c r="H4" i="12"/>
  <c r="C12" i="12" s="1"/>
  <c r="J11" i="13"/>
  <c r="D25" i="13" s="1"/>
  <c r="H4" i="14"/>
  <c r="D28" i="14" s="1"/>
  <c r="E73" i="10"/>
  <c r="E95" i="10"/>
  <c r="F4" i="17"/>
  <c r="K73" i="10"/>
  <c r="D58" i="15"/>
  <c r="D56" i="13"/>
  <c r="F38" i="17"/>
  <c r="I92" i="17"/>
  <c r="C92" i="17"/>
  <c r="K46" i="41" l="1"/>
  <c r="G50" i="41" s="1"/>
  <c r="K46" i="40"/>
  <c r="G50" i="40" s="1"/>
  <c r="F104" i="17"/>
  <c r="M104" i="17" s="1"/>
  <c r="C107" i="17" s="1"/>
  <c r="H107" i="17" s="1"/>
  <c r="G109" i="17" s="1"/>
  <c r="L109" i="17" s="1"/>
  <c r="K97" i="10"/>
  <c r="F112" i="17"/>
  <c r="K112" i="17" s="1"/>
  <c r="C115" i="17" s="1"/>
  <c r="H115" i="17" s="1"/>
  <c r="G117" i="17" s="1"/>
  <c r="L117" i="17" s="1"/>
  <c r="K77" i="15"/>
  <c r="H42" i="15"/>
  <c r="I56" i="40" l="1"/>
  <c r="F53" i="40"/>
  <c r="I56" i="41"/>
  <c r="F53" i="41"/>
</calcChain>
</file>

<file path=xl/sharedStrings.xml><?xml version="1.0" encoding="utf-8"?>
<sst xmlns="http://schemas.openxmlformats.org/spreadsheetml/2006/main" count="3093" uniqueCount="1340">
  <si>
    <t>Pumping to Gravity or Pressure Distribution:</t>
  </si>
  <si>
    <t>1.  If pumping to gravity enter the gallon per minute of the pump:</t>
  </si>
  <si>
    <t>OSTP Design Summary Worksheet</t>
  </si>
  <si>
    <t>Bed Design Summary</t>
  </si>
  <si>
    <t>Sidewall Depth</t>
  </si>
  <si>
    <t>Absorption Area</t>
  </si>
  <si>
    <t>Total System Length</t>
  </si>
  <si>
    <t>Total System Width</t>
  </si>
  <si>
    <t>C = 130</t>
  </si>
  <si>
    <t>(10.5    ÷</t>
  </si>
  <si>
    <r>
      <t>Pipe Diameter</t>
    </r>
    <r>
      <rPr>
        <vertAlign val="superscript"/>
        <sz val="10"/>
        <rFont val="Trebuchet MS"/>
        <family val="2"/>
      </rPr>
      <t xml:space="preserve">4.87 </t>
    </r>
    <r>
      <rPr>
        <sz val="10"/>
        <rFont val="Trebuchet MS"/>
        <family val="2"/>
      </rPr>
      <t>)</t>
    </r>
  </si>
  <si>
    <t>X     (</t>
  </si>
  <si>
    <t>M.</t>
  </si>
  <si>
    <t>N.</t>
  </si>
  <si>
    <t>Downslope Berm Width</t>
  </si>
  <si>
    <t>Endslope Berm Width</t>
  </si>
  <si>
    <t>System Length</t>
  </si>
  <si>
    <t>System Width</t>
  </si>
  <si>
    <t>Upslope Berm Width</t>
  </si>
  <si>
    <t>Absorption Bed Width</t>
  </si>
  <si>
    <t>Perforation Spacing</t>
  </si>
  <si>
    <t>Total Head</t>
  </si>
  <si>
    <t>At-Grade Design Summary</t>
  </si>
  <si>
    <t>Mound Design Summary</t>
  </si>
  <si>
    <t>Trench Design Summary</t>
  </si>
  <si>
    <t xml:space="preserve">X </t>
  </si>
  <si>
    <t>Calculate Drainback:</t>
  </si>
  <si>
    <t>Length of Supply Pipe =</t>
  </si>
  <si>
    <t>Pump On</t>
  </si>
  <si>
    <t>Pump Off</t>
  </si>
  <si>
    <t>Alarm Depth</t>
  </si>
  <si>
    <r>
      <t>ft</t>
    </r>
    <r>
      <rPr>
        <vertAlign val="superscript"/>
        <sz val="10"/>
        <rFont val="Trebuchet MS"/>
        <family val="2"/>
      </rPr>
      <t>2</t>
    </r>
  </si>
  <si>
    <r>
      <t>ft</t>
    </r>
    <r>
      <rPr>
        <vertAlign val="superscript"/>
        <sz val="10"/>
        <rFont val="Trebuchet MS"/>
        <family val="2"/>
      </rPr>
      <t>2</t>
    </r>
    <r>
      <rPr>
        <sz val="10"/>
        <rFont val="Trebuchet MS"/>
        <family val="2"/>
      </rPr>
      <t xml:space="preserve"> lawn area</t>
    </r>
  </si>
  <si>
    <r>
      <t>ft</t>
    </r>
    <r>
      <rPr>
        <vertAlign val="superscript"/>
        <sz val="10"/>
        <rFont val="Trebuchet MS"/>
        <family val="2"/>
      </rPr>
      <t>3</t>
    </r>
  </si>
  <si>
    <r>
      <t>yd</t>
    </r>
    <r>
      <rPr>
        <vertAlign val="superscript"/>
        <sz val="10"/>
        <rFont val="Trebuchet MS"/>
        <family val="2"/>
      </rPr>
      <t>3</t>
    </r>
  </si>
  <si>
    <t>Bottom Area Multiplier</t>
  </si>
  <si>
    <r>
      <t>GPD/ft</t>
    </r>
    <r>
      <rPr>
        <vertAlign val="superscript"/>
        <sz val="10"/>
        <rFont val="Trebuchet MS"/>
        <family val="2"/>
      </rPr>
      <t xml:space="preserve">2   </t>
    </r>
    <r>
      <rPr>
        <sz val="10"/>
        <rFont val="Trebuchet MS"/>
        <family val="2"/>
      </rPr>
      <t>=</t>
    </r>
  </si>
  <si>
    <t>%   ÷  100 =</t>
  </si>
  <si>
    <t>Property Owner/Client:</t>
  </si>
  <si>
    <t>Comments:</t>
  </si>
  <si>
    <r>
      <t>Calculate</t>
    </r>
    <r>
      <rPr>
        <i/>
        <sz val="10"/>
        <rFont val="Trebuchet MS"/>
        <family val="2"/>
      </rPr>
      <t xml:space="preserve"> Clean Sand Volume:</t>
    </r>
  </si>
  <si>
    <t>((</t>
  </si>
  <si>
    <r>
      <t>Endslope Volume</t>
    </r>
    <r>
      <rPr>
        <sz val="10"/>
        <rFont val="Trebuchet MS"/>
        <family val="2"/>
      </rPr>
      <t>: (</t>
    </r>
    <r>
      <rPr>
        <i/>
        <sz val="10"/>
        <rFont val="Trebuchet MS"/>
        <family val="2"/>
      </rPr>
      <t xml:space="preserve">Downslope Mound Height - 1) </t>
    </r>
    <r>
      <rPr>
        <sz val="10"/>
        <rFont val="Trebuchet MS"/>
        <family val="2"/>
      </rPr>
      <t xml:space="preserve">x 3  x </t>
    </r>
    <r>
      <rPr>
        <i/>
        <sz val="10"/>
        <rFont val="Trebuchet MS"/>
        <family val="2"/>
      </rPr>
      <t>Media Width</t>
    </r>
    <r>
      <rPr>
        <sz val="10"/>
        <rFont val="Trebuchet MS"/>
        <family val="2"/>
      </rPr>
      <t xml:space="preserve"> = cubic feet</t>
    </r>
  </si>
  <si>
    <r>
      <t>Total Clean Sand Volume</t>
    </r>
    <r>
      <rPr>
        <sz val="10"/>
        <rFont val="Trebuchet MS"/>
        <family val="2"/>
      </rPr>
      <t xml:space="preserve">: </t>
    </r>
    <r>
      <rPr>
        <i/>
        <sz val="10"/>
        <rFont val="Trebuchet MS"/>
        <family val="2"/>
      </rPr>
      <t>Upslope Volume</t>
    </r>
    <r>
      <rPr>
        <sz val="10"/>
        <rFont val="Trebuchet MS"/>
        <family val="2"/>
      </rPr>
      <t xml:space="preserve"> + </t>
    </r>
    <r>
      <rPr>
        <i/>
        <sz val="10"/>
        <rFont val="Trebuchet MS"/>
        <family val="2"/>
      </rPr>
      <t>Downslope Volume</t>
    </r>
    <r>
      <rPr>
        <sz val="10"/>
        <rFont val="Trebuchet MS"/>
        <family val="2"/>
      </rPr>
      <t xml:space="preserve"> + </t>
    </r>
    <r>
      <rPr>
        <i/>
        <sz val="10"/>
        <rFont val="Trebuchet MS"/>
        <family val="2"/>
      </rPr>
      <t>Endslope Volume</t>
    </r>
    <r>
      <rPr>
        <sz val="10"/>
        <rFont val="Trebuchet MS"/>
        <family val="2"/>
      </rPr>
      <t xml:space="preserve"> + </t>
    </r>
    <r>
      <rPr>
        <i/>
        <sz val="10"/>
        <rFont val="Trebuchet MS"/>
        <family val="2"/>
      </rPr>
      <t>Volume Under Media</t>
    </r>
  </si>
  <si>
    <t xml:space="preserve">  </t>
  </si>
  <si>
    <r>
      <t>Calculate</t>
    </r>
    <r>
      <rPr>
        <i/>
        <sz val="10"/>
        <rFont val="Trebuchet MS"/>
        <family val="2"/>
      </rPr>
      <t xml:space="preserve"> Sandy Berm Volume:</t>
    </r>
  </si>
  <si>
    <r>
      <t xml:space="preserve">Calculate </t>
    </r>
    <r>
      <rPr>
        <i/>
        <sz val="10"/>
        <rFont val="Trebuchet MS"/>
        <family val="2"/>
      </rPr>
      <t>Topsoil Material Volume: Total Mound Width X Total Mound Length X .5 ft</t>
    </r>
  </si>
  <si>
    <t>Total Mound Volume - Clean Sand volume -Rock Volume = cubic feet</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</si>
  <si>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</si>
  <si>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</si>
  <si>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</si>
  <si>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</si>
  <si>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</si>
  <si>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</si>
  <si>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</si>
  <si>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</si>
  <si>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</si>
  <si>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</si>
  <si>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</si>
  <si>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Equivalent length of pipe fittings.</t>
  </si>
  <si>
    <r>
      <t xml:space="preserve">B. All other trenches: </t>
    </r>
    <r>
      <rPr>
        <i/>
        <sz val="10"/>
        <rFont val="Trebuchet MS"/>
        <family val="2"/>
      </rPr>
      <t>Pressure Head</t>
    </r>
    <r>
      <rPr>
        <sz val="10"/>
        <rFont val="Trebuchet MS"/>
        <family val="2"/>
      </rPr>
      <t xml:space="preserve"> equals </t>
    </r>
    <r>
      <rPr>
        <i/>
        <sz val="10"/>
        <rFont val="Trebuchet MS"/>
        <family val="2"/>
      </rPr>
      <t>Minimum Average Head</t>
    </r>
    <r>
      <rPr>
        <sz val="10"/>
        <rFont val="Trebuchet MS"/>
        <family val="2"/>
      </rPr>
      <t xml:space="preserve"> (Line 3) plus the </t>
    </r>
    <r>
      <rPr>
        <i/>
        <sz val="10"/>
        <rFont val="Trebuchet MS"/>
        <family val="2"/>
      </rPr>
      <t>Change in Elevation</t>
    </r>
    <r>
      <rPr>
        <sz val="10"/>
        <rFont val="Trebuchet MS"/>
        <family val="2"/>
      </rPr>
      <t xml:space="preserve"> from Lateral 1.</t>
    </r>
  </si>
  <si>
    <r>
      <t>NOTE:</t>
    </r>
    <r>
      <rPr>
        <sz val="10"/>
        <rFont val="Trebuchet MS"/>
        <family val="2"/>
      </rPr>
      <t xml:space="preserve"> System installer should contact system designer if the number of fittings varies from the design to the actual installation.</t>
    </r>
  </si>
  <si>
    <t>Other</t>
  </si>
  <si>
    <t>Quantity</t>
  </si>
  <si>
    <t>GPD   ÷</t>
  </si>
  <si>
    <t>GPD/ft =</t>
  </si>
  <si>
    <r>
      <t>lbs/day/ft</t>
    </r>
    <r>
      <rPr>
        <vertAlign val="superscript"/>
        <sz val="10"/>
        <rFont val="Trebuchet MS"/>
        <family val="2"/>
      </rPr>
      <t>2</t>
    </r>
  </si>
  <si>
    <t xml:space="preserve">ft     = </t>
  </si>
  <si>
    <t>Drainfield rock &amp; pea gravel</t>
  </si>
  <si>
    <t>Sand</t>
  </si>
  <si>
    <r>
      <t>Divide ft</t>
    </r>
    <r>
      <rPr>
        <vertAlign val="superscript"/>
        <sz val="10"/>
        <rFont val="Trebuchet MS"/>
        <family val="2"/>
      </rPr>
      <t>3</t>
    </r>
    <r>
      <rPr>
        <sz val="10"/>
        <rFont val="Trebuchet MS"/>
        <family val="2"/>
      </rPr>
      <t xml:space="preserve"> by 27 ft</t>
    </r>
    <r>
      <rPr>
        <vertAlign val="superscript"/>
        <sz val="10"/>
        <rFont val="Trebuchet MS"/>
        <family val="2"/>
      </rPr>
      <t>3</t>
    </r>
    <r>
      <rPr>
        <sz val="10"/>
        <rFont val="Trebuchet MS"/>
        <family val="2"/>
      </rPr>
      <t>/yd</t>
    </r>
    <r>
      <rPr>
        <vertAlign val="superscript"/>
        <sz val="10"/>
        <rFont val="Trebuchet MS"/>
        <family val="2"/>
      </rPr>
      <t>3</t>
    </r>
    <r>
      <rPr>
        <sz val="10"/>
        <rFont val="Trebuchet MS"/>
        <family val="2"/>
      </rPr>
      <t xml:space="preserve"> to calculate cubic yards:</t>
    </r>
  </si>
  <si>
    <t>DISPERSAL MEDIA SIZING</t>
  </si>
  <si>
    <t>If a larger dispersal media area is desired, enter size:</t>
  </si>
  <si>
    <t>lbs BOD/day</t>
  </si>
  <si>
    <t>ft  - 1)</t>
  </si>
  <si>
    <t>ft - 1)</t>
  </si>
  <si>
    <t>ft - 1 )</t>
  </si>
  <si>
    <t>Depth to Limiting Condition:</t>
  </si>
  <si>
    <t>BED CONFIGURATION: (for sites with less than 6% slope)</t>
  </si>
  <si>
    <t>Equivalent Length (ft)</t>
  </si>
  <si>
    <t>Equivalent Length Factor</t>
  </si>
  <si>
    <t>Sum of Equivalent Length due to pipe fittings:</t>
  </si>
  <si>
    <r>
      <t>Absorption Bed Width</t>
    </r>
    <r>
      <rPr>
        <sz val="10"/>
        <rFont val="Trebuchet MS"/>
        <family val="2"/>
      </rPr>
      <t xml:space="preserve"> = </t>
    </r>
    <r>
      <rPr>
        <i/>
        <sz val="10"/>
        <rFont val="Trebuchet MS"/>
        <family val="2"/>
      </rPr>
      <t>Contour Loading Rate</t>
    </r>
    <r>
      <rPr>
        <sz val="10"/>
        <rFont val="Trebuchet MS"/>
        <family val="2"/>
      </rPr>
      <t xml:space="preserve"> (1.D) ÷ </t>
    </r>
    <r>
      <rPr>
        <i/>
        <sz val="10"/>
        <rFont val="Trebuchet MS"/>
        <family val="2"/>
      </rPr>
      <t xml:space="preserve">Soil Loading Rate </t>
    </r>
    <r>
      <rPr>
        <sz val="10"/>
        <rFont val="Trebuchet MS"/>
        <family val="2"/>
      </rPr>
      <t>(1.B)</t>
    </r>
  </si>
  <si>
    <r>
      <t>Absorption Bed Length</t>
    </r>
    <r>
      <rPr>
        <sz val="10"/>
        <rFont val="Trebuchet MS"/>
        <family val="2"/>
      </rPr>
      <t xml:space="preserve"> = </t>
    </r>
    <r>
      <rPr>
        <i/>
        <sz val="10"/>
        <rFont val="Trebuchet MS"/>
        <family val="2"/>
      </rPr>
      <t>Design Flow</t>
    </r>
    <r>
      <rPr>
        <sz val="10"/>
        <rFont val="Trebuchet MS"/>
        <family val="2"/>
      </rPr>
      <t xml:space="preserve"> (1.A) ÷ </t>
    </r>
    <r>
      <rPr>
        <i/>
        <sz val="10"/>
        <rFont val="Trebuchet MS"/>
        <family val="2"/>
      </rPr>
      <t xml:space="preserve">Contour Loading Rate </t>
    </r>
    <r>
      <rPr>
        <sz val="10"/>
        <rFont val="Trebuchet MS"/>
        <family val="2"/>
      </rPr>
      <t>(1.D)</t>
    </r>
  </si>
  <si>
    <r>
      <t>GPD/ft</t>
    </r>
    <r>
      <rPr>
        <vertAlign val="superscript"/>
        <sz val="10"/>
        <rFont val="Trebuchet MS"/>
        <family val="2"/>
      </rPr>
      <t>2</t>
    </r>
    <r>
      <rPr>
        <sz val="10"/>
        <rFont val="Trebuchet MS"/>
        <family val="2"/>
      </rPr>
      <t xml:space="preserve"> ÷</t>
    </r>
  </si>
  <si>
    <t>(Minimum of 6 feet)</t>
  </si>
  <si>
    <r>
      <t xml:space="preserve"> ft</t>
    </r>
    <r>
      <rPr>
        <vertAlign val="superscript"/>
        <sz val="10"/>
        <rFont val="Trebuchet MS"/>
        <family val="2"/>
      </rPr>
      <t>3</t>
    </r>
    <r>
      <rPr>
        <sz val="10"/>
        <rFont val="Trebuchet MS"/>
        <family val="2"/>
      </rPr>
      <t xml:space="preserve">  ÷</t>
    </r>
  </si>
  <si>
    <r>
      <t xml:space="preserve"> yd</t>
    </r>
    <r>
      <rPr>
        <vertAlign val="superscript"/>
        <sz val="10"/>
        <rFont val="Trebuchet MS"/>
        <family val="2"/>
      </rPr>
      <t>3</t>
    </r>
    <r>
      <rPr>
        <sz val="10"/>
        <rFont val="Trebuchet MS"/>
        <family val="2"/>
      </rPr>
      <t xml:space="preserve">  x</t>
    </r>
  </si>
  <si>
    <t>APPROXIMATE VOLUME CALCULATIONS:</t>
  </si>
  <si>
    <t xml:space="preserve">Loamy or Sandy Loam Cover Material Volume: </t>
  </si>
  <si>
    <r>
      <t>ft</t>
    </r>
    <r>
      <rPr>
        <vertAlign val="superscript"/>
        <sz val="10"/>
        <rFont val="Trebuchet MS"/>
        <family val="2"/>
      </rPr>
      <t xml:space="preserve">3  </t>
    </r>
    <r>
      <rPr>
        <sz val="10"/>
        <rFont val="Trebuchet MS"/>
        <family val="2"/>
      </rPr>
      <t>÷</t>
    </r>
  </si>
  <si>
    <r>
      <t>GPD/ft</t>
    </r>
    <r>
      <rPr>
        <vertAlign val="superscript"/>
        <sz val="10"/>
        <rFont val="Trebuchet MS"/>
        <family val="2"/>
      </rPr>
      <t>2</t>
    </r>
  </si>
  <si>
    <t>ABSORPTION AREA SIZING</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</si>
  <si>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</si>
  <si>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</si>
  <si>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</si>
  <si>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</si>
  <si>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</si>
  <si>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</si>
  <si>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</si>
  <si>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</si>
  <si>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</si>
  <si>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</si>
  <si>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- 2 ft =</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</si>
  <si>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</si>
  <si>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</si>
  <si>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</si>
  <si>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</si>
  <si>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</si>
  <si>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</si>
  <si>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</si>
  <si>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r>
      <t>Number of Perforation Spaces</t>
    </r>
    <r>
      <rPr>
        <sz val="10"/>
        <rFont val="Trebuchet MS"/>
        <family val="2"/>
      </rPr>
      <t xml:space="preserve"> = </t>
    </r>
  </si>
  <si>
    <t>ft/</t>
  </si>
  <si>
    <t>ft =</t>
  </si>
  <si>
    <t>Spaces</t>
  </si>
  <si>
    <t>12.</t>
  </si>
  <si>
    <t>13.</t>
  </si>
  <si>
    <r>
      <t xml:space="preserve">Perforations Per Lateral </t>
    </r>
    <r>
      <rPr>
        <sz val="10"/>
        <rFont val="Trebuchet MS"/>
        <family val="2"/>
      </rPr>
      <t>=</t>
    </r>
  </si>
  <si>
    <t>1/4</t>
  </si>
  <si>
    <t>End</t>
  </si>
  <si>
    <t>3/16</t>
  </si>
  <si>
    <t>1/8</t>
  </si>
  <si>
    <t>14.</t>
  </si>
  <si>
    <t>ft    =</t>
  </si>
  <si>
    <t>ft   +</t>
  </si>
  <si>
    <t>ft   =</t>
  </si>
  <si>
    <t>ft  =</t>
  </si>
  <si>
    <t>ft  X</t>
  </si>
  <si>
    <t>ft   X</t>
  </si>
  <si>
    <t>ft    +</t>
  </si>
  <si>
    <t>15.</t>
  </si>
  <si>
    <t>ft X</t>
  </si>
  <si>
    <t>16.</t>
  </si>
  <si>
    <t>perforations</t>
  </si>
  <si>
    <t>17.</t>
  </si>
  <si>
    <t>L in feet</t>
  </si>
  <si>
    <r>
      <t xml:space="preserve">Select </t>
    </r>
    <r>
      <rPr>
        <i/>
        <sz val="10"/>
        <rFont val="Trebuchet MS"/>
        <family val="2"/>
      </rPr>
      <t>Minimum Average Head</t>
    </r>
    <r>
      <rPr>
        <sz val="10"/>
        <rFont val="Trebuchet MS"/>
        <family val="2"/>
      </rPr>
      <t>:</t>
    </r>
  </si>
  <si>
    <t>18.</t>
  </si>
  <si>
    <t>GPM per Perforation</t>
  </si>
  <si>
    <t>Perforation Diameter</t>
  </si>
  <si>
    <t>Perforations</t>
  </si>
  <si>
    <t>GPM</t>
  </si>
  <si>
    <t>I hereby certify that I have completed this work in accordance with all applicable ordinances, rules and laws.</t>
  </si>
  <si>
    <t>(Designer)</t>
  </si>
  <si>
    <t>(Signature)</t>
  </si>
  <si>
    <t>(License #)</t>
  </si>
  <si>
    <t>(Date)</t>
  </si>
  <si>
    <t>Gravity Distribution</t>
  </si>
  <si>
    <t>3.</t>
  </si>
  <si>
    <t>4.</t>
  </si>
  <si>
    <t>-</t>
  </si>
  <si>
    <t>Inches</t>
  </si>
  <si>
    <t>A pump must be selected to deliver at least</t>
  </si>
  <si>
    <t>GPM (Line 1 or Line 2) with at least</t>
  </si>
  <si>
    <t>A.</t>
  </si>
  <si>
    <t>Rectangle area = Length (L) X Width (W)</t>
  </si>
  <si>
    <t>C.</t>
  </si>
  <si>
    <t>Gallons Per Inch</t>
  </si>
  <si>
    <t>Lat 1</t>
  </si>
  <si>
    <t>Lat 2</t>
  </si>
  <si>
    <t>Lat 3</t>
  </si>
  <si>
    <t>Lat 4</t>
  </si>
  <si>
    <t>Lat 5</t>
  </si>
  <si>
    <t>Calculate the Gallons Per Minute Per Foot for Lateral 1.  This value will then be used to make sure that the gallons per minute per foot is equivalent in each lateral</t>
  </si>
  <si>
    <t>Center</t>
  </si>
  <si>
    <r>
      <t xml:space="preserve">Calculate </t>
    </r>
    <r>
      <rPr>
        <i/>
        <sz val="10"/>
        <rFont val="Trebuchet MS"/>
        <family val="2"/>
      </rPr>
      <t>Change in Elevation</t>
    </r>
    <r>
      <rPr>
        <sz val="10"/>
        <rFont val="Trebuchet MS"/>
        <family val="2"/>
      </rPr>
      <t xml:space="preserve"> over the laterals</t>
    </r>
  </si>
  <si>
    <r>
      <t xml:space="preserve">Calculate the </t>
    </r>
    <r>
      <rPr>
        <i/>
        <sz val="10"/>
        <rFont val="Trebuchet MS"/>
        <family val="2"/>
      </rPr>
      <t>Total Head</t>
    </r>
    <r>
      <rPr>
        <sz val="10"/>
        <rFont val="Trebuchet MS"/>
        <family val="2"/>
      </rPr>
      <t xml:space="preserve"> = </t>
    </r>
    <r>
      <rPr>
        <i/>
        <sz val="10"/>
        <rFont val="Trebuchet MS"/>
        <family val="2"/>
      </rPr>
      <t>Minimum Average Head</t>
    </r>
    <r>
      <rPr>
        <sz val="10"/>
        <rFont val="Trebuchet MS"/>
        <family val="2"/>
      </rPr>
      <t xml:space="preserve"> (Line 3) + </t>
    </r>
    <r>
      <rPr>
        <i/>
        <sz val="10"/>
        <rFont val="Trebuchet MS"/>
        <family val="2"/>
      </rPr>
      <t>Change in Elevation</t>
    </r>
    <r>
      <rPr>
        <sz val="10"/>
        <rFont val="Trebuchet MS"/>
        <family val="2"/>
      </rPr>
      <t xml:space="preserve"> (Line 2)</t>
    </r>
  </si>
  <si>
    <r>
      <t xml:space="preserve">Calculate </t>
    </r>
    <r>
      <rPr>
        <i/>
        <sz val="10"/>
        <rFont val="Trebuchet MS"/>
        <family val="2"/>
      </rPr>
      <t>Pressure Head for Each Lateral</t>
    </r>
  </si>
  <si>
    <r>
      <t xml:space="preserve">Determine the </t>
    </r>
    <r>
      <rPr>
        <i/>
        <sz val="10"/>
        <rFont val="Trebuchet MS"/>
        <family val="2"/>
      </rPr>
      <t>Flow Rate per Hole</t>
    </r>
  </si>
  <si>
    <r>
      <t>Flow Rate for Lateral 1</t>
    </r>
    <r>
      <rPr>
        <sz val="10"/>
        <rFont val="Trebuchet MS"/>
        <family val="2"/>
      </rPr>
      <t xml:space="preserve"> = </t>
    </r>
    <r>
      <rPr>
        <i/>
        <sz val="10"/>
        <rFont val="Trebuchet MS"/>
        <family val="2"/>
      </rPr>
      <t>Number of Perforations</t>
    </r>
    <r>
      <rPr>
        <sz val="10"/>
        <rFont val="Trebuchet MS"/>
        <family val="2"/>
      </rPr>
      <t xml:space="preserve"> X </t>
    </r>
    <r>
      <rPr>
        <i/>
        <sz val="10"/>
        <rFont val="Trebuchet MS"/>
        <family val="2"/>
      </rPr>
      <t>Flow Rate Per Hole for Lateral 1</t>
    </r>
  </si>
  <si>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</si>
  <si>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</si>
  <si>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</si>
  <si>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</si>
  <si>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</si>
  <si>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</si>
  <si>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</si>
  <si>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</si>
  <si>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</si>
  <si>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</si>
  <si>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</si>
  <si>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</si>
  <si>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</si>
  <si>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</si>
  <si>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</si>
  <si>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</si>
  <si>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</si>
  <si>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</si>
  <si>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</si>
  <si>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</si>
  <si>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</si>
  <si>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</si>
  <si>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</si>
  <si>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</si>
  <si>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</si>
  <si>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</si>
  <si>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</si>
  <si>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</si>
  <si>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</si>
  <si>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</si>
  <si>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</si>
  <si>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TABLE I</t>
  </si>
  <si>
    <t>from 7081.0130</t>
  </si>
  <si>
    <t>Bar or lounge (no meals)</t>
  </si>
  <si>
    <t xml:space="preserve">For more than six bedrooms, the design flow is determined by the following formulas:                                                                                                         
                                                                 </t>
  </si>
  <si>
    <r>
      <t xml:space="preserve">TABLE IV                          </t>
    </r>
    <r>
      <rPr>
        <b/>
        <sz val="16"/>
        <color indexed="8"/>
        <rFont val="Trebuchet MS"/>
        <family val="2"/>
      </rPr>
      <t>from 7080.1860</t>
    </r>
  </si>
  <si>
    <t>Pipe Elevation</t>
  </si>
  <si>
    <t>Length of STA</t>
  </si>
  <si>
    <r>
      <t xml:space="preserve">A. Highest trench elevation (Pipe Elevation 1): </t>
    </r>
    <r>
      <rPr>
        <i/>
        <sz val="10"/>
        <rFont val="Trebuchet MS"/>
        <family val="2"/>
      </rPr>
      <t>Pressure Head</t>
    </r>
    <r>
      <rPr>
        <sz val="10"/>
        <rFont val="Trebuchet MS"/>
        <family val="2"/>
      </rPr>
      <t xml:space="preserve"> equals </t>
    </r>
    <r>
      <rPr>
        <i/>
        <sz val="10"/>
        <rFont val="Trebuchet MS"/>
        <family val="2"/>
      </rPr>
      <t>Minimum Average Head</t>
    </r>
    <r>
      <rPr>
        <sz val="10"/>
        <rFont val="Trebuchet MS"/>
        <family val="2"/>
      </rPr>
      <t xml:space="preserve"> (Line 3)</t>
    </r>
  </si>
  <si>
    <t>b.</t>
  </si>
  <si>
    <r>
      <t>Initial required trench bottom area (ft</t>
    </r>
    <r>
      <rPr>
        <vertAlign val="superscript"/>
        <sz val="10"/>
        <rFont val="Trebuchet MS"/>
        <family val="2"/>
      </rPr>
      <t>2</t>
    </r>
    <r>
      <rPr>
        <sz val="10"/>
        <rFont val="Trebuchet MS"/>
        <family val="2"/>
      </rPr>
      <t>): (from 1.D)</t>
    </r>
  </si>
  <si>
    <t>Design trench bottom area</t>
  </si>
  <si>
    <r>
      <t>ft</t>
    </r>
    <r>
      <rPr>
        <vertAlign val="superscript"/>
        <sz val="10"/>
        <rFont val="Trebuchet MS"/>
        <family val="2"/>
      </rPr>
      <t>2</t>
    </r>
    <r>
      <rPr>
        <sz val="10"/>
        <rFont val="Trebuchet MS"/>
        <family val="2"/>
      </rPr>
      <t xml:space="preserve"> =</t>
    </r>
  </si>
  <si>
    <t>Linear, Linear</t>
  </si>
  <si>
    <t>Linear, Concave</t>
  </si>
  <si>
    <t>Summit</t>
  </si>
  <si>
    <t>S1, T2</t>
  </si>
  <si>
    <t>Convex, Linear</t>
  </si>
  <si>
    <t>Shoulder</t>
  </si>
  <si>
    <t>S1, T3</t>
  </si>
  <si>
    <t>Concentrations</t>
  </si>
  <si>
    <t>`</t>
  </si>
  <si>
    <t>(typically 5 - 12 ft from center to center)</t>
  </si>
  <si>
    <t>Enter soil treatment area (STA) length in order of the Highest Elevation to the Lowest Elevation:</t>
  </si>
  <si>
    <t>employee 8-hour shift</t>
  </si>
  <si>
    <t>employee 8-hour shift with showers</t>
  </si>
  <si>
    <t>seat (open more than 16 hours)</t>
  </si>
  <si>
    <t>seat (open more  than 16 hours, single service articles)</t>
  </si>
  <si>
    <t>Camp, day without meals</t>
  </si>
  <si>
    <t>* Waste other than sewage is only allowed to be discharged into the system if the waste is suitable to be discharged to groundwater.</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</si>
  <si>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</si>
  <si>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</si>
  <si>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</si>
  <si>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</si>
  <si>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</si>
  <si>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</si>
  <si>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</si>
  <si>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</si>
  <si>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</si>
  <si>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</si>
  <si>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</si>
  <si>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</si>
  <si>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</si>
  <si>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</si>
  <si>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</si>
  <si>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</si>
  <si>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</si>
  <si>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</si>
  <si>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</si>
  <si>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</si>
  <si>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</si>
  <si>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in   X</t>
  </si>
  <si>
    <t>gal/in ÷</t>
  </si>
  <si>
    <t>min =</t>
  </si>
  <si>
    <t>gal ÷</t>
  </si>
  <si>
    <t>gpm =</t>
  </si>
  <si>
    <t>1440 min</t>
  </si>
  <si>
    <t xml:space="preserve">doses/day  - </t>
  </si>
  <si>
    <t>min</t>
  </si>
  <si>
    <t>gal/in =</t>
  </si>
  <si>
    <t>in +</t>
  </si>
  <si>
    <t>in  =</t>
  </si>
  <si>
    <t>in =</t>
  </si>
  <si>
    <t>S3, T2</t>
  </si>
  <si>
    <t>Platey</t>
  </si>
  <si>
    <t>sandy clay loam</t>
  </si>
  <si>
    <t>S3, T3</t>
  </si>
  <si>
    <t>Blocky</t>
  </si>
  <si>
    <t>silt</t>
  </si>
  <si>
    <t>S3, T4</t>
  </si>
  <si>
    <t>Extremely Firm</t>
  </si>
  <si>
    <t>silt loam</t>
  </si>
  <si>
    <t>S3, T5</t>
  </si>
  <si>
    <t>S4, T3</t>
  </si>
  <si>
    <t>S4, T4</t>
  </si>
  <si>
    <t>S4, T5</t>
  </si>
  <si>
    <r>
      <t>System Length</t>
    </r>
    <r>
      <rPr>
        <sz val="10"/>
        <rFont val="Trebuchet MS"/>
        <family val="2"/>
      </rPr>
      <t xml:space="preserve"> = Sum of the </t>
    </r>
    <r>
      <rPr>
        <i/>
        <sz val="10"/>
        <rFont val="Trebuchet MS"/>
        <family val="2"/>
      </rPr>
      <t xml:space="preserve">Endslope Width </t>
    </r>
    <r>
      <rPr>
        <sz val="10"/>
        <rFont val="Trebuchet MS"/>
        <family val="2"/>
      </rPr>
      <t>(2.I) +</t>
    </r>
    <r>
      <rPr>
        <i/>
        <sz val="10"/>
        <rFont val="Trebuchet MS"/>
        <family val="2"/>
      </rPr>
      <t xml:space="preserve"> Absorption Bed Length </t>
    </r>
    <r>
      <rPr>
        <sz val="10"/>
        <rFont val="Trebuchet MS"/>
        <family val="2"/>
      </rPr>
      <t>(1.F) + End</t>
    </r>
    <r>
      <rPr>
        <i/>
        <sz val="10"/>
        <rFont val="Trebuchet MS"/>
        <family val="2"/>
      </rPr>
      <t>slope Width</t>
    </r>
    <r>
      <rPr>
        <sz val="10"/>
        <rFont val="Trebuchet MS"/>
        <family val="2"/>
      </rPr>
      <t xml:space="preserve"> (2.I)</t>
    </r>
  </si>
  <si>
    <t>Length of STA from manifold</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</si>
  <si>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</si>
  <si>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Enter the minimum pipe size that allows for even distribution and the volume of liquid in the pipe from the table.</t>
  </si>
  <si>
    <r>
      <t>Flow Rate    ÷   Constant)</t>
    </r>
    <r>
      <rPr>
        <vertAlign val="superscript"/>
        <sz val="10"/>
        <rFont val="Trebuchet MS"/>
        <family val="2"/>
      </rPr>
      <t xml:space="preserve">1.85 </t>
    </r>
  </si>
  <si>
    <r>
      <t>gpm ÷ 130)</t>
    </r>
    <r>
      <rPr>
        <vertAlign val="superscript"/>
        <sz val="10"/>
        <rFont val="Arial"/>
        <family val="2"/>
      </rPr>
      <t xml:space="preserve">1.85   </t>
    </r>
    <r>
      <rPr>
        <sz val="10"/>
        <rFont val="Arial"/>
        <family val="2"/>
      </rPr>
      <t>X</t>
    </r>
  </si>
  <si>
    <t>(10.5   ÷</t>
  </si>
  <si>
    <r>
      <t>Hazen-Williams friction loss due to pipe fittings and supply pipe (h</t>
    </r>
    <r>
      <rPr>
        <vertAlign val="subscript"/>
        <sz val="10"/>
        <rFont val="Trebuchet MS"/>
        <family val="2"/>
      </rPr>
      <t>f</t>
    </r>
    <r>
      <rPr>
        <sz val="10"/>
        <rFont val="Trebuchet MS"/>
        <family val="2"/>
      </rPr>
      <t>):</t>
    </r>
  </si>
  <si>
    <r>
      <t>in</t>
    </r>
    <r>
      <rPr>
        <vertAlign val="superscript"/>
        <sz val="12"/>
        <rFont val="Trebuchet MS"/>
        <family val="2"/>
      </rPr>
      <t>4.87</t>
    </r>
    <r>
      <rPr>
        <sz val="12"/>
        <rFont val="Trebuchet MS"/>
        <family val="2"/>
      </rPr>
      <t xml:space="preserve"> )</t>
    </r>
  </si>
  <si>
    <t>Contour Loading Rate:</t>
  </si>
  <si>
    <t>0.1 to 5</t>
  </si>
  <si>
    <t>Highest</t>
  </si>
  <si>
    <t>Lowest</t>
  </si>
  <si>
    <t>2ft</t>
  </si>
  <si>
    <t xml:space="preserve">ft       </t>
  </si>
  <si>
    <t>ft per 100ft</t>
  </si>
  <si>
    <t>Pump Off Float - Measuring from bottom of tank:</t>
  </si>
  <si>
    <t>mg/L X 8.35 ÷ 1,000,000 =</t>
  </si>
  <si>
    <t>3.14     X</t>
  </si>
  <si>
    <t>Drainfield rock</t>
  </si>
  <si>
    <t>in  X</t>
  </si>
  <si>
    <t>Comments/Special Design Considerations:</t>
  </si>
  <si>
    <t>- Line 17 of the Pressure Distribution or Line 11 of Non-level</t>
  </si>
  <si>
    <t>Absorption Width</t>
  </si>
  <si>
    <t>Clean Sand Lift</t>
  </si>
  <si>
    <t>Soil Texture:</t>
  </si>
  <si>
    <t>DESIGN SUMMARY</t>
  </si>
  <si>
    <t>Trench Width</t>
  </si>
  <si>
    <t>Total Lineal Feet</t>
  </si>
  <si>
    <t>Number of Trenches</t>
  </si>
  <si>
    <t>Bed Length</t>
  </si>
  <si>
    <t>Bed Width</t>
  </si>
  <si>
    <t>Quantity X Equivalent Length Factor = Equivalent Length</t>
  </si>
  <si>
    <t>)ft  X</t>
  </si>
  <si>
    <r>
      <t>ft</t>
    </r>
    <r>
      <rPr>
        <vertAlign val="superscript"/>
        <sz val="10"/>
        <rFont val="Trebuchet MS"/>
        <family val="2"/>
      </rPr>
      <t>2</t>
    </r>
    <r>
      <rPr>
        <sz val="10"/>
        <rFont val="Trebuchet MS"/>
        <family val="2"/>
      </rPr>
      <t>/perforations</t>
    </r>
  </si>
  <si>
    <t>2.  HEAD REQUIREMENTS</t>
  </si>
  <si>
    <t>3.  PUMP SELECTION</t>
  </si>
  <si>
    <t>gpd    X</t>
  </si>
  <si>
    <t>(</t>
  </si>
  <si>
    <t>+</t>
  </si>
  <si>
    <t>Design Flow:</t>
  </si>
  <si>
    <t>GPD</t>
  </si>
  <si>
    <t>Minutes ON</t>
  </si>
  <si>
    <t>Measuring from bottom of tank:</t>
  </si>
  <si>
    <t>Minutes OFF</t>
  </si>
  <si>
    <t>Lateral 1</t>
  </si>
  <si>
    <t>Lateral 2</t>
  </si>
  <si>
    <t>Lateral 3</t>
  </si>
  <si>
    <t>Lateral 4</t>
  </si>
  <si>
    <t>Lateral 5</t>
  </si>
  <si>
    <t>= Highest Elevation (Lateral 1) - Lowest Elevation (Last Lateral above)</t>
  </si>
  <si>
    <t>This worksheet cannot be used for a Minimum Average Head of 5.0 feet.  Design must be modified or valving must be used to equalize flow.</t>
  </si>
  <si>
    <t>Pressure Head</t>
  </si>
  <si>
    <t>c=0.60; d=perforation diameter; h=pressure head</t>
  </si>
  <si>
    <t>Pressurized Bed</t>
  </si>
  <si>
    <t>Classification of Dwelling</t>
  </si>
  <si>
    <t># of bedrooms</t>
  </si>
  <si>
    <t>I</t>
  </si>
  <si>
    <t>II</t>
  </si>
  <si>
    <t>III</t>
  </si>
  <si>
    <t>IV</t>
  </si>
  <si>
    <t>2 or less</t>
  </si>
  <si>
    <t>*</t>
  </si>
  <si>
    <t>Dwelling units</t>
  </si>
  <si>
    <t>Unit</t>
  </si>
  <si>
    <t>Average daily flow</t>
  </si>
  <si>
    <t>Hotel or luxury hotel</t>
  </si>
  <si>
    <t>guest</t>
  </si>
  <si>
    <t>square foot</t>
  </si>
  <si>
    <t>Motel</t>
  </si>
  <si>
    <t>Rooming house</t>
  </si>
  <si>
    <t>resident</t>
  </si>
  <si>
    <t>Daycare (no meals)</t>
  </si>
  <si>
    <t>child</t>
  </si>
  <si>
    <t>Daycare (with meals)</t>
  </si>
  <si>
    <t>Dormitory</t>
  </si>
  <si>
    <t>person</t>
  </si>
  <si>
    <t>Labor camp</t>
  </si>
  <si>
    <t>employee</t>
  </si>
  <si>
    <t>Commercial</t>
  </si>
  <si>
    <t>Industrial</t>
  </si>
  <si>
    <t>Retail store</t>
  </si>
  <si>
    <t>customer</t>
  </si>
  <si>
    <t>toilet</t>
  </si>
  <si>
    <t>Shopping center</t>
  </si>
  <si>
    <t>parking space</t>
  </si>
  <si>
    <t>Office</t>
  </si>
  <si>
    <t>Medical office*</t>
  </si>
  <si>
    <t>practitioner</t>
  </si>
  <si>
    <t>patient</t>
  </si>
  <si>
    <t>Industrial building*</t>
  </si>
  <si>
    <t>Laundromat</t>
  </si>
  <si>
    <t>machine</t>
  </si>
  <si>
    <t>load</t>
  </si>
  <si>
    <t>Barber shop*</t>
  </si>
  <si>
    <t>chair</t>
  </si>
  <si>
    <t>Beauty salon*</t>
  </si>
  <si>
    <t>station</t>
  </si>
  <si>
    <t>Flea market</t>
  </si>
  <si>
    <t>nonfood vendor space</t>
  </si>
  <si>
    <t>limited food vendor space</t>
  </si>
  <si>
    <t>with food vendor space</t>
  </si>
  <si>
    <t>meal without  alcoholic drinks</t>
  </si>
  <si>
    <t>meal with  alcoholic drinks</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</si>
  <si>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</si>
  <si>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</si>
  <si>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</si>
  <si>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</si>
  <si>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</si>
  <si>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</si>
  <si>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</si>
  <si>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</si>
  <si>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</si>
  <si>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meal</t>
  </si>
  <si>
    <t>Food outlet</t>
  </si>
  <si>
    <t>Dining hall</t>
  </si>
  <si>
    <t>Coffee shop</t>
  </si>
  <si>
    <t>Cafeteria</t>
  </si>
  <si>
    <t>seat</t>
  </si>
  <si>
    <t>Entertainment establishments</t>
  </si>
  <si>
    <t>car stall</t>
  </si>
  <si>
    <t>Theater</t>
  </si>
  <si>
    <t>auditorium seat</t>
  </si>
  <si>
    <t>Bowling alley</t>
  </si>
  <si>
    <t>alley</t>
  </si>
  <si>
    <t>Country club</t>
  </si>
  <si>
    <t>member (no meals)</t>
  </si>
  <si>
    <t>member (with meals  and showers)</t>
  </si>
  <si>
    <t>member (resident)</t>
  </si>
  <si>
    <t>Fairground and other similar  gatherings</t>
  </si>
  <si>
    <t>visitor</t>
  </si>
  <si>
    <t>Stadium</t>
  </si>
  <si>
    <t>Dance hall</t>
  </si>
  <si>
    <t>Health club</t>
  </si>
  <si>
    <t>gym member</t>
  </si>
  <si>
    <t>Outdoor recreation and related lodging facilities</t>
  </si>
  <si>
    <t>Campground</t>
  </si>
  <si>
    <t>Permanent mobile  home</t>
  </si>
  <si>
    <t>mobile home</t>
  </si>
  <si>
    <t>Camp, day with meals</t>
  </si>
  <si>
    <t>Camp, day and  night with meals</t>
  </si>
  <si>
    <t>Resort</t>
  </si>
  <si>
    <t>lodge hotel person</t>
  </si>
  <si>
    <t>Cabin, resort</t>
  </si>
  <si>
    <t>Retail resort store</t>
  </si>
  <si>
    <t>Park or   swimming pool</t>
  </si>
  <si>
    <t>Visitor center</t>
  </si>
  <si>
    <t>Transportation</t>
  </si>
  <si>
    <t>Gas station</t>
  </si>
  <si>
    <t>convenience store customer</t>
  </si>
  <si>
    <t>Service station* customer</t>
  </si>
  <si>
    <t>service bay</t>
  </si>
  <si>
    <t>Car wash* (does not include car  wash water)</t>
  </si>
  <si>
    <t>Airport, bus station, rail depot</t>
  </si>
  <si>
    <t>passenger</t>
  </si>
  <si>
    <t>restroom</t>
  </si>
  <si>
    <t>Institutional</t>
  </si>
  <si>
    <t>Hospital*</t>
  </si>
  <si>
    <t>bed</t>
  </si>
  <si>
    <t>Mental health hospital*</t>
  </si>
  <si>
    <t>Prison or jail</t>
  </si>
  <si>
    <t>inmate</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</si>
  <si>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</si>
  <si>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</si>
  <si>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</si>
  <si>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</si>
  <si>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</si>
  <si>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</si>
  <si>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</si>
  <si>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Church</t>
  </si>
  <si>
    <t>4, add for each meal prepared  5</t>
  </si>
  <si>
    <t>Assembly hall</t>
  </si>
  <si>
    <t>Miscellaneous</t>
  </si>
  <si>
    <t>Public lavatory</t>
  </si>
  <si>
    <t>user</t>
  </si>
  <si>
    <t>Public shower</t>
  </si>
  <si>
    <t>shower taken</t>
  </si>
  <si>
    <t>Estimated Sewage Flow from Other Establishments (Gallons/day)</t>
  </si>
  <si>
    <t>Eating and drinking establishments</t>
  </si>
  <si>
    <t>add for each nonresident meal</t>
  </si>
  <si>
    <t>Labor camp (semi permanent)</t>
  </si>
  <si>
    <t>Restaurant (does not include bar or lounge)</t>
  </si>
  <si>
    <t>Drive-in theater</t>
  </si>
  <si>
    <t>Average daily flow for 4 to 10 dwellings (Gallons/Day)</t>
  </si>
  <si>
    <r>
      <t xml:space="preserve"> yd</t>
    </r>
    <r>
      <rPr>
        <vertAlign val="superscript"/>
        <sz val="10"/>
        <rFont val="Trebuchet MS"/>
        <family val="2"/>
      </rPr>
      <t>3</t>
    </r>
    <r>
      <rPr>
        <sz val="10"/>
        <rFont val="Trebuchet MS"/>
        <family val="2"/>
      </rPr>
      <t xml:space="preserve"> X</t>
    </r>
  </si>
  <si>
    <r>
      <t>) ÷</t>
    </r>
    <r>
      <rPr>
        <sz val="10"/>
        <rFont val="Trebuchet MS"/>
        <family val="2"/>
      </rPr>
      <t xml:space="preserve"> 2 =</t>
    </r>
  </si>
  <si>
    <r>
      <t>ft</t>
    </r>
    <r>
      <rPr>
        <vertAlign val="superscript"/>
        <sz val="10"/>
        <rFont val="Trebuchet MS"/>
        <family val="2"/>
      </rPr>
      <t>3</t>
    </r>
    <r>
      <rPr>
        <sz val="10"/>
        <rFont val="Trebuchet MS"/>
        <family val="2"/>
      </rPr>
      <t xml:space="preserve">  +</t>
    </r>
  </si>
  <si>
    <r>
      <t>ft</t>
    </r>
    <r>
      <rPr>
        <vertAlign val="superscript"/>
        <sz val="10"/>
        <rFont val="Trebuchet MS"/>
        <family val="2"/>
      </rPr>
      <t>3</t>
    </r>
    <r>
      <rPr>
        <sz val="10"/>
        <rFont val="Trebuchet MS"/>
        <family val="2"/>
      </rPr>
      <t xml:space="preserve"> =</t>
    </r>
  </si>
  <si>
    <r>
      <t>ft</t>
    </r>
    <r>
      <rPr>
        <vertAlign val="superscript"/>
        <sz val="10"/>
        <rFont val="Trebuchet MS"/>
        <family val="2"/>
      </rPr>
      <t>3</t>
    </r>
    <r>
      <rPr>
        <sz val="10"/>
        <rFont val="Trebuchet MS"/>
        <family val="2"/>
      </rPr>
      <t xml:space="preserve">  -</t>
    </r>
  </si>
  <si>
    <r>
      <t>ft</t>
    </r>
    <r>
      <rPr>
        <vertAlign val="superscript"/>
        <sz val="10"/>
        <rFont val="Trebuchet MS"/>
        <family val="2"/>
      </rPr>
      <t>3</t>
    </r>
    <r>
      <rPr>
        <sz val="10"/>
        <rFont val="Trebuchet MS"/>
        <family val="2"/>
      </rPr>
      <t xml:space="preserve">  =</t>
    </r>
  </si>
  <si>
    <t>Spaces +1 =</t>
  </si>
  <si>
    <t>Minimum Average Head</t>
  </si>
  <si>
    <r>
      <rPr>
        <b/>
        <sz val="10"/>
        <rFont val="Trebuchet MS"/>
        <family val="2"/>
      </rPr>
      <t xml:space="preserve">Classification I: </t>
    </r>
    <r>
      <rPr>
        <sz val="10"/>
        <rFont val="Trebuchet MS"/>
        <family val="2"/>
      </rPr>
      <t>Classification Classification I dwellings are those with more than 800 square feet per bedroom, when the dwelling’s total finished floor area is divided by the number of bedrooms, or where more than two of the following water‑use appliances are installed or anticipated: clothes washing machine, dishwasher, water conditioning unit, bathtub greater than 40 gallons, garbage disposal, or self‑cleaning humidifier in furnace. The design flow for
Classification I dwellings is determined by multiplying 150 gallons by the number of bedrooms.</t>
    </r>
  </si>
  <si>
    <r>
      <t>Classification II</t>
    </r>
    <r>
      <rPr>
        <sz val="10"/>
        <color indexed="8"/>
        <rFont val="Trebuchet MS"/>
        <family val="2"/>
      </rPr>
      <t>: Classification II dwellings are those with 500 to 800 square feet per bedroom, when the dwelling's total finished floor area is divided by the number of bedrooms, and where no more than two of the water-use appliances listed in Classification I are installed or anticipated. The design flow for Classification II dwellings is determined by adding one to the number of bedrooms and multiplying this result by 75 gallons.</t>
    </r>
  </si>
  <si>
    <r>
      <t xml:space="preserve">Classification III: </t>
    </r>
    <r>
      <rPr>
        <sz val="10"/>
        <color indexed="8"/>
        <rFont val="Trebuchet MS"/>
        <family val="2"/>
      </rPr>
      <t>Classification III dwellings are those with less than 500 square feet per bedroom, when the dwelling's total finished floor area is divided by the number of bedrooms, and where no more than two of the water-use appliances listed in Classification I are installed or anticipated. The design flow for Classification III dwellings is determined by adding one to the number of bedrooms, multiplying this result by 38 gallons, then adding 66 gallons.</t>
    </r>
  </si>
  <si>
    <t xml:space="preserve">4. </t>
  </si>
  <si>
    <t>Type of Distribution Media:</t>
  </si>
  <si>
    <t>or Calculate Perforation Discharge (Q) in GPM:</t>
  </si>
  <si>
    <t>Calculate Flow in Gallons Per Minute for Lateral 1</t>
  </si>
  <si>
    <t>Number of Perforations =Number of Perforation Spaces (Line 11) + 1.</t>
  </si>
  <si>
    <t>D.</t>
  </si>
  <si>
    <t>E.</t>
  </si>
  <si>
    <t>GPM for Lateral 1</t>
  </si>
  <si>
    <t>Gallons Per Length =</t>
  </si>
  <si>
    <t>Flow Rate for Lateral 1 divided by Length of Lateral 1</t>
  </si>
  <si>
    <t>GPM/Foot</t>
  </si>
  <si>
    <t>Balance flows for other lateral lengths, spacing, and size.</t>
  </si>
  <si>
    <t>GPM/Ft=</t>
  </si>
  <si>
    <t>Number of Perforations = GPM/Flow Rate for Lateral 2 (Line 6.2)</t>
  </si>
  <si>
    <t>Perforations-1)</t>
  </si>
  <si>
    <t>If you end up with large perforation spacing (3' is max) lower the initial spacing for Lateral 1 (Line 7.A) or the perforation size (Line 6)</t>
  </si>
  <si>
    <t>Calculate Total GPM for system - the total GPM need from the pump.</t>
  </si>
  <si>
    <t>Summary</t>
  </si>
  <si>
    <t>Pipe Size (in)</t>
  </si>
  <si>
    <t>Pipe Volume (gal/ft)</t>
  </si>
  <si>
    <t>Pipe Length (ft)</t>
  </si>
  <si>
    <t>Total Volume to Fill Pipe (gal)</t>
  </si>
  <si>
    <t>Perforation Size (in)</t>
  </si>
  <si>
    <t>Spacing (ft)</t>
  </si>
  <si>
    <t>Total Volume of Distribution Piping =</t>
  </si>
  <si>
    <r>
      <t>Bed Area</t>
    </r>
    <r>
      <rPr>
        <sz val="10"/>
        <rFont val="Trebuchet MS"/>
        <family val="2"/>
      </rPr>
      <t xml:space="preserve">  =  Bed Width (ft) X Bed Length (ft)</t>
    </r>
  </si>
  <si>
    <t>DISPERSAL MEDIA SIZING:</t>
  </si>
  <si>
    <t>BERM SIZING:</t>
  </si>
  <si>
    <r>
      <t>Endslope Width</t>
    </r>
    <r>
      <rPr>
        <sz val="10"/>
        <rFont val="Trebuchet MS"/>
        <family val="2"/>
      </rPr>
      <t xml:space="preserve"> = </t>
    </r>
    <r>
      <rPr>
        <i/>
        <sz val="10"/>
        <rFont val="Trebuchet MS"/>
        <family val="2"/>
      </rPr>
      <t>Endslope Multiplier</t>
    </r>
    <r>
      <rPr>
        <sz val="10"/>
        <rFont val="Trebuchet MS"/>
        <family val="2"/>
      </rPr>
      <t xml:space="preserve"> (2.H) X </t>
    </r>
    <r>
      <rPr>
        <i/>
        <sz val="10"/>
        <rFont val="Trebuchet MS"/>
        <family val="2"/>
      </rPr>
      <t>System Height</t>
    </r>
    <r>
      <rPr>
        <sz val="10"/>
        <rFont val="Trebuchet MS"/>
        <family val="2"/>
      </rPr>
      <t xml:space="preserve"> (2.A)</t>
    </r>
  </si>
  <si>
    <r>
      <t>System Width</t>
    </r>
    <r>
      <rPr>
        <sz val="10"/>
        <rFont val="Trebuchet MS"/>
        <family val="2"/>
      </rPr>
      <t xml:space="preserve"> = The sum of the </t>
    </r>
    <r>
      <rPr>
        <i/>
        <sz val="10"/>
        <rFont val="Trebuchet MS"/>
        <family val="2"/>
      </rPr>
      <t xml:space="preserve">Upslope Width </t>
    </r>
    <r>
      <rPr>
        <sz val="10"/>
        <rFont val="Trebuchet MS"/>
        <family val="2"/>
      </rPr>
      <t xml:space="preserve">(2.C) + </t>
    </r>
    <r>
      <rPr>
        <i/>
        <sz val="10"/>
        <rFont val="Trebuchet MS"/>
        <family val="2"/>
      </rPr>
      <t>Downslope Width</t>
    </r>
    <r>
      <rPr>
        <sz val="10"/>
        <rFont val="Trebuchet MS"/>
        <family val="2"/>
      </rPr>
      <t>(2.G)</t>
    </r>
  </si>
  <si>
    <t xml:space="preserve"> </t>
  </si>
  <si>
    <t>Topsoil Volume in Cubic Feet = System width (2.J) X System Length (2.K) x 0.5</t>
  </si>
  <si>
    <t>Required Absorption Bed Area = Design Flow (1.A) ÷ Soil Loading Rate (1.B)</t>
  </si>
  <si>
    <t>AT-GRADE DIMENSIONS:</t>
  </si>
  <si>
    <r>
      <t>Rock Volume in Cubic Yards</t>
    </r>
    <r>
      <rPr>
        <sz val="10"/>
        <rFont val="Trebuchet MS"/>
        <family val="2"/>
      </rPr>
      <t xml:space="preserve"> = </t>
    </r>
    <r>
      <rPr>
        <i/>
        <sz val="10"/>
        <rFont val="Trebuchet MS"/>
        <family val="2"/>
      </rPr>
      <t>Volume in Cubic Feet</t>
    </r>
    <r>
      <rPr>
        <sz val="10"/>
        <rFont val="Trebuchet MS"/>
        <family val="2"/>
      </rPr>
      <t xml:space="preserve"> (4.B) divided by 27</t>
    </r>
  </si>
  <si>
    <t>Volume in Cubic Feet = System Width (2.J) X System Length (2.K) X 1.5 ÷ 2, minus rock volume (4.B)</t>
  </si>
  <si>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</si>
  <si>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</si>
  <si>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</si>
  <si>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 xml:space="preserve">Calculate </t>
    </r>
    <r>
      <rPr>
        <i/>
        <sz val="10"/>
        <rFont val="Trebuchet MS"/>
        <family val="2"/>
      </rPr>
      <t>Maximum Pumpout Volume</t>
    </r>
    <r>
      <rPr>
        <sz val="10"/>
        <rFont val="Trebuchet MS"/>
        <family val="2"/>
      </rPr>
      <t xml:space="preserve"> (25% of Design Flow)</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</si>
  <si>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</si>
  <si>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</si>
  <si>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</si>
  <si>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t>)    ÷   (</t>
  </si>
  <si>
    <r>
      <t>Length of Laterals</t>
    </r>
    <r>
      <rPr>
        <sz val="10"/>
        <rFont val="Trebuchet MS"/>
        <family val="2"/>
      </rPr>
      <t xml:space="preserve"> = Length of STA (Line 1) - 2 Feet</t>
    </r>
  </si>
  <si>
    <t>Spacing = (Length of Lateral)/(Number of Perforations -1)</t>
  </si>
  <si>
    <t>Elevation of Lateral</t>
  </si>
  <si>
    <t>Elevation of Lateral 1</t>
  </si>
  <si>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</si>
  <si>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r>
      <t xml:space="preserve">Required </t>
    </r>
    <r>
      <rPr>
        <i/>
        <sz val="10"/>
        <rFont val="Trebuchet MS"/>
        <family val="2"/>
      </rPr>
      <t>Flow Rate</t>
    </r>
    <r>
      <rPr>
        <sz val="10"/>
        <rFont val="Trebuchet MS"/>
        <family val="2"/>
      </rPr>
      <t>:</t>
    </r>
  </si>
  <si>
    <r>
      <t xml:space="preserve">Calculate </t>
    </r>
    <r>
      <rPr>
        <b/>
        <sz val="10"/>
        <rFont val="Trebuchet MS"/>
        <family val="2"/>
      </rPr>
      <t>TIMER ON</t>
    </r>
    <r>
      <rPr>
        <sz val="10"/>
        <rFont val="Trebuchet MS"/>
        <family val="2"/>
      </rPr>
      <t xml:space="preserve"> setting: </t>
    </r>
  </si>
  <si>
    <r>
      <t>Calculate</t>
    </r>
    <r>
      <rPr>
        <b/>
        <sz val="10"/>
        <rFont val="Trebuchet MS"/>
        <family val="2"/>
      </rPr>
      <t xml:space="preserve"> TIMER OFF</t>
    </r>
    <r>
      <rPr>
        <sz val="10"/>
        <rFont val="Trebuchet MS"/>
        <family val="2"/>
      </rPr>
      <t xml:space="preserve"> setting:</t>
    </r>
  </si>
  <si>
    <t>Gallons Per Day (GPD)</t>
  </si>
  <si>
    <t>SITE EVALUATION:</t>
  </si>
  <si>
    <t>feet</t>
  </si>
  <si>
    <t>%</t>
  </si>
  <si>
    <t>B.</t>
  </si>
  <si>
    <t>6 to 15</t>
  </si>
  <si>
    <t>16 to 30</t>
  </si>
  <si>
    <t>31 to 45</t>
  </si>
  <si>
    <t>46 to 60</t>
  </si>
  <si>
    <t>SYSTEM SIZING:</t>
  </si>
  <si>
    <t>Sidewall Absorption (inches)</t>
  </si>
  <si>
    <t>Bottom Area Reduction</t>
  </si>
  <si>
    <t>6 to 11</t>
  </si>
  <si>
    <t>12 to 17</t>
  </si>
  <si>
    <t>18 to 23</t>
  </si>
  <si>
    <t>inches</t>
  </si>
  <si>
    <t>F.</t>
  </si>
  <si>
    <t>G.</t>
  </si>
  <si>
    <t>H.</t>
  </si>
  <si>
    <t>I.</t>
  </si>
  <si>
    <t>Q in gpm</t>
  </si>
  <si>
    <t>D in inches</t>
  </si>
  <si>
    <t xml:space="preserve">ft    - </t>
  </si>
  <si>
    <t>ft     =</t>
  </si>
  <si>
    <t>ft  +  [</t>
  </si>
  <si>
    <t>ft     -</t>
  </si>
  <si>
    <t>ft]    =</t>
  </si>
  <si>
    <t>ft        Perforation Diameter</t>
  </si>
  <si>
    <t>gpd ÷</t>
  </si>
  <si>
    <r>
      <t>GPD</t>
    </r>
    <r>
      <rPr>
        <sz val="10"/>
        <rFont val="AmerType Md BT"/>
        <family val="1"/>
      </rPr>
      <t xml:space="preserve"> ÷</t>
    </r>
  </si>
  <si>
    <t>ft )  X</t>
  </si>
  <si>
    <r>
      <t>ft</t>
    </r>
    <r>
      <rPr>
        <vertAlign val="superscript"/>
        <sz val="10"/>
        <rFont val="Trebuchet MS"/>
        <family val="2"/>
      </rPr>
      <t>2</t>
    </r>
    <r>
      <rPr>
        <sz val="10"/>
        <rFont val="Trebuchet MS"/>
        <family val="2"/>
      </rPr>
      <t xml:space="preserve">   =</t>
    </r>
  </si>
  <si>
    <t>ft)</t>
  </si>
  <si>
    <r>
      <t>ft</t>
    </r>
    <r>
      <rPr>
        <vertAlign val="superscript"/>
        <sz val="10"/>
        <rFont val="Trebuchet MS"/>
        <family val="2"/>
      </rPr>
      <t>3</t>
    </r>
    <r>
      <rPr>
        <sz val="10"/>
        <rFont val="Trebuchet MS"/>
        <family val="2"/>
      </rPr>
      <t xml:space="preserve">   ÷     27    =</t>
    </r>
  </si>
  <si>
    <t>ft    X</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</si>
  <si>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</si>
  <si>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</si>
  <si>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</si>
  <si>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</si>
  <si>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</si>
  <si>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gal/ft     =</t>
  </si>
  <si>
    <t>gal +</t>
  </si>
  <si>
    <t xml:space="preserve">gal = </t>
  </si>
  <si>
    <t>* Flows for Classification IV dwellings are 60 percent of the values as determined for Classification I, II or III systems.</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</si>
  <si>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</si>
  <si>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</si>
  <si>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</si>
  <si>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</si>
  <si>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</si>
  <si>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</si>
  <si>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</si>
  <si>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</si>
  <si>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</si>
  <si>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</si>
  <si>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</si>
  <si>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</si>
  <si>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</si>
  <si>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</si>
  <si>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</si>
  <si>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</si>
  <si>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</si>
  <si>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</si>
  <si>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</si>
  <si>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</si>
  <si>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Unless otherwise noted in Table I, the flow values do not include flows generated by employees. A flow value of 15 gallons/employee/eight-hour shift must be added to the flow amount. Design flow determination for establishments not listed in Table I shall be determined by the best available information &amp; approved by the LUG.</t>
  </si>
  <si>
    <t>Sandy Loam</t>
  </si>
  <si>
    <t xml:space="preserve">Check Table to ensure the maximum number of perforations is not exceeded.  </t>
  </si>
  <si>
    <t xml:space="preserve">Select Type of Manifold Connection (End or Center): </t>
  </si>
  <si>
    <t>Gallons per inch</t>
  </si>
  <si>
    <t>2 inches)   X</t>
  </si>
  <si>
    <t>Mound</t>
  </si>
  <si>
    <t>At-Grade</t>
  </si>
  <si>
    <t>GPD/ft</t>
  </si>
  <si>
    <t>x</t>
  </si>
  <si>
    <t>Add 20% for constructability:</t>
  </si>
  <si>
    <t>J.</t>
  </si>
  <si>
    <t>K.</t>
  </si>
  <si>
    <t>L.</t>
  </si>
  <si>
    <t>Mound Absorption Ratio</t>
  </si>
  <si>
    <t>MOUND SIZING</t>
  </si>
  <si>
    <t>Does not apply to At-Grades</t>
  </si>
  <si>
    <t>Level Pressure Distribution</t>
  </si>
  <si>
    <t>Unlevel Pressure Distribution</t>
  </si>
  <si>
    <t>OSTP Pressure Distribution Design Worksheet</t>
  </si>
  <si>
    <t>ft   -</t>
  </si>
  <si>
    <t>ft  +</t>
  </si>
  <si>
    <t>GPM/ft=</t>
  </si>
  <si>
    <t>Structureless</t>
  </si>
  <si>
    <t>Yes</t>
  </si>
  <si>
    <t>No</t>
  </si>
  <si>
    <t>÷</t>
  </si>
  <si>
    <t>feet of total head.</t>
  </si>
  <si>
    <t>Distribution Head Loss:</t>
  </si>
  <si>
    <t>Elevation Difference</t>
  </si>
  <si>
    <t>ft per 100ft of pipe</t>
  </si>
  <si>
    <t>Friction Loss =</t>
  </si>
  <si>
    <t>Supply Friction Loss =</t>
  </si>
  <si>
    <t>Additional Head Loss:</t>
  </si>
  <si>
    <r>
      <t xml:space="preserve">Hazen-Williams Equation for </t>
    </r>
    <r>
      <rPr>
        <b/>
        <i/>
        <sz val="12"/>
        <rFont val="Trebuchet MS"/>
        <family val="2"/>
      </rPr>
      <t>h</t>
    </r>
  </si>
  <si>
    <t>coarse sandy loam</t>
  </si>
  <si>
    <t>coarse sand</t>
  </si>
  <si>
    <t>coarse loamy sand</t>
  </si>
  <si>
    <t>Toe Slope</t>
  </si>
  <si>
    <t>very fine sandy loam</t>
  </si>
  <si>
    <t xml:space="preserve">OSTP Mound Materials Worksheet                                                          </t>
  </si>
  <si>
    <t xml:space="preserve"> 3.0 ft            X</t>
  </si>
  <si>
    <t>3.0  ft            X</t>
  </si>
  <si>
    <t>1/16</t>
  </si>
  <si>
    <t>Rock</t>
  </si>
  <si>
    <t>laterals</t>
  </si>
  <si>
    <t>Gal</t>
  </si>
  <si>
    <t>Slope</t>
  </si>
  <si>
    <t>Tank Size</t>
  </si>
  <si>
    <t>SHLR</t>
  </si>
  <si>
    <t>DepthPipe</t>
  </si>
  <si>
    <t>SizeMult</t>
  </si>
  <si>
    <t>MediaLoadRate</t>
  </si>
  <si>
    <t>DispersalMedia</t>
  </si>
  <si>
    <t>Other Approved Distribution Media</t>
  </si>
  <si>
    <t>AtGradeDown</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</si>
  <si>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</si>
  <si>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</si>
  <si>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</si>
  <si>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</si>
  <si>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</si>
  <si>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</si>
  <si>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</si>
  <si>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</si>
  <si>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</si>
  <si>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</si>
  <si>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</si>
  <si>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</si>
  <si>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</si>
  <si>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</si>
  <si>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</si>
  <si>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</si>
  <si>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</si>
  <si>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</si>
  <si>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</si>
  <si>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</si>
  <si>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</si>
  <si>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</si>
  <si>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</si>
  <si>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</si>
  <si>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</si>
  <si>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</si>
  <si>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</si>
  <si>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</si>
  <si>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</si>
  <si>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</si>
  <si>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Site Address:</t>
  </si>
  <si>
    <r>
      <t>Volume Under Rock bed</t>
    </r>
    <r>
      <rPr>
        <sz val="10"/>
        <rFont val="Trebuchet MS"/>
        <family val="2"/>
      </rPr>
      <t xml:space="preserve">: </t>
    </r>
    <r>
      <rPr>
        <i/>
        <sz val="10"/>
        <rFont val="Trebuchet MS"/>
        <family val="2"/>
      </rPr>
      <t>Average Sand Depth</t>
    </r>
    <r>
      <rPr>
        <sz val="10"/>
        <rFont val="Trebuchet MS"/>
        <family val="2"/>
      </rPr>
      <t xml:space="preserve"> x </t>
    </r>
    <r>
      <rPr>
        <i/>
        <sz val="10"/>
        <rFont val="Trebuchet MS"/>
        <family val="2"/>
      </rPr>
      <t>Media Width</t>
    </r>
    <r>
      <rPr>
        <sz val="10"/>
        <rFont val="Trebuchet MS"/>
        <family val="2"/>
      </rPr>
      <t xml:space="preserve"> x </t>
    </r>
    <r>
      <rPr>
        <i/>
        <sz val="10"/>
        <rFont val="Trebuchet MS"/>
        <family val="2"/>
      </rPr>
      <t>Media Length</t>
    </r>
    <r>
      <rPr>
        <sz val="10"/>
        <rFont val="Trebuchet MS"/>
        <family val="2"/>
      </rPr>
      <t xml:space="preserve"> = cubic feet</t>
    </r>
  </si>
  <si>
    <r>
      <t>Loamy or Sandy Loam Cover Volume in Cubic Yards</t>
    </r>
    <r>
      <rPr>
        <sz val="10"/>
        <rFont val="Trebuchet MS"/>
        <family val="2"/>
      </rPr>
      <t xml:space="preserve"> = </t>
    </r>
    <r>
      <rPr>
        <i/>
        <sz val="10"/>
        <rFont val="Trebuchet MS"/>
        <family val="2"/>
      </rPr>
      <t>Volume in Cubic Feet</t>
    </r>
    <r>
      <rPr>
        <sz val="10"/>
        <rFont val="Trebuchet MS"/>
        <family val="2"/>
      </rPr>
      <t xml:space="preserve"> (4.E) divided by 27</t>
    </r>
  </si>
  <si>
    <r>
      <t>Topsoil Volume in Cubic Yards</t>
    </r>
    <r>
      <rPr>
        <sz val="10"/>
        <rFont val="Trebuchet MS"/>
        <family val="2"/>
      </rPr>
      <t xml:space="preserve"> = </t>
    </r>
    <r>
      <rPr>
        <i/>
        <sz val="10"/>
        <rFont val="Trebuchet MS"/>
        <family val="2"/>
      </rPr>
      <t>Volume in Cubic Feet</t>
    </r>
    <r>
      <rPr>
        <sz val="10"/>
        <rFont val="Trebuchet MS"/>
        <family val="2"/>
      </rPr>
      <t xml:space="preserve"> (4.H) divided by 27</t>
    </r>
  </si>
  <si>
    <t>Select a Perforation Diameter and the corresponding gallons per minute from the Perforation Discharge table below, adjusting as needed.</t>
  </si>
  <si>
    <t>MoundAbsorptionRatio</t>
  </si>
  <si>
    <r>
      <t xml:space="preserve">Design Flow </t>
    </r>
    <r>
      <rPr>
        <i/>
        <sz val="9"/>
        <rFont val="Trebuchet MS"/>
        <family val="2"/>
      </rPr>
      <t>(Design Sum.1A)</t>
    </r>
    <r>
      <rPr>
        <sz val="8"/>
        <rFont val="Trebuchet MS"/>
        <family val="2"/>
      </rPr>
      <t>:</t>
    </r>
  </si>
  <si>
    <r>
      <t xml:space="preserve"> GPD/ft</t>
    </r>
    <r>
      <rPr>
        <vertAlign val="superscript"/>
        <sz val="11"/>
        <rFont val="Trebuchet MS"/>
        <family val="2"/>
      </rPr>
      <t>2</t>
    </r>
    <r>
      <rPr>
        <sz val="11"/>
        <rFont val="Trebuchet MS"/>
        <family val="2"/>
      </rPr>
      <t>=</t>
    </r>
  </si>
  <si>
    <t>No. of Perforated Laterals</t>
  </si>
  <si>
    <t>ft)  =</t>
  </si>
  <si>
    <r>
      <t>Rock Area</t>
    </r>
    <r>
      <rPr>
        <sz val="10"/>
        <rFont val="Trebuchet MS"/>
        <family val="2"/>
      </rPr>
      <t xml:space="preserve"> = Absorption Bed Length (1.F)  X  (Additional rock upslope of lateral + </t>
    </r>
    <r>
      <rPr>
        <i/>
        <sz val="10"/>
        <rFont val="Trebuchet MS"/>
        <family val="2"/>
      </rPr>
      <t>Absorption Bed Width</t>
    </r>
    <r>
      <rPr>
        <sz val="10"/>
        <rFont val="Trebuchet MS"/>
        <family val="2"/>
      </rPr>
      <t xml:space="preserve"> (1.E)</t>
    </r>
  </si>
  <si>
    <t>ft  X  (</t>
  </si>
  <si>
    <t>Lateral Diameter</t>
  </si>
  <si>
    <t>Lateral 6</t>
  </si>
  <si>
    <t>Lat 6</t>
  </si>
  <si>
    <t>Lateral 6 GPM = Length of Lateral X Gallons Per Minute Per Foot (Line 8)</t>
  </si>
  <si>
    <t>Number of Perforations = GPM/Flow Rate for Lateral 3 (Line 6.3)</t>
  </si>
  <si>
    <t>Number of Perforations = GPM/Flow Rate for Lateral 4 (Line 6.4)</t>
  </si>
  <si>
    <t>Number of Perforations = GPM/Flow Rate for Lateral 5 (Line 6.5)</t>
  </si>
  <si>
    <t>Number of Perforations = GPM/Flow Rate for Lateral 6 (Line 6.6)</t>
  </si>
  <si>
    <t>Lateral 1 Flow + Lateral 2 Flow + Lateral 3 Flow+ Lateral 4 Flow + Lateral 5 Flow + Lateral 6 Flow</t>
  </si>
  <si>
    <t>Total GPM</t>
  </si>
  <si>
    <t>bedrock</t>
  </si>
  <si>
    <t>Concentrations, depletions</t>
  </si>
  <si>
    <t>MediaDepth</t>
  </si>
  <si>
    <t>Optional</t>
  </si>
  <si>
    <t>YN-Optional</t>
  </si>
  <si>
    <t>MOUND DIMENSIONS</t>
  </si>
  <si>
    <t>Percent Land Slope:</t>
  </si>
  <si>
    <t xml:space="preserve">OSTP Mound Design Worksheet &gt;1% Slope                                                      </t>
  </si>
  <si>
    <r>
      <t>Downslope Volume</t>
    </r>
    <r>
      <rPr>
        <sz val="10"/>
        <rFont val="Trebuchet MS"/>
        <family val="2"/>
      </rPr>
      <t>: ((</t>
    </r>
    <r>
      <rPr>
        <i/>
        <sz val="10"/>
        <rFont val="Trebuchet MS"/>
        <family val="2"/>
      </rPr>
      <t xml:space="preserve">Downslope Height - 1) </t>
    </r>
    <r>
      <rPr>
        <sz val="10"/>
        <rFont val="Trebuchet MS"/>
        <family val="2"/>
      </rPr>
      <t xml:space="preserve">x Downslope Absorption Width  x </t>
    </r>
    <r>
      <rPr>
        <i/>
        <sz val="10"/>
        <rFont val="Trebuchet MS"/>
        <family val="2"/>
      </rPr>
      <t>Media Length</t>
    </r>
    <r>
      <rPr>
        <sz val="10"/>
        <rFont val="Trebuchet MS"/>
        <family val="2"/>
      </rPr>
      <t xml:space="preserve">) </t>
    </r>
    <r>
      <rPr>
        <sz val="10"/>
        <rFont val="Arial"/>
        <family val="2"/>
      </rPr>
      <t>÷</t>
    </r>
    <r>
      <rPr>
        <sz val="10"/>
        <rFont val="Trebuchet MS"/>
        <family val="2"/>
      </rPr>
      <t xml:space="preserve"> 2 = cubic feet</t>
    </r>
  </si>
  <si>
    <r>
      <t>Upslope Volume</t>
    </r>
    <r>
      <rPr>
        <sz val="10"/>
        <rFont val="Trebuchet MS"/>
        <family val="2"/>
      </rPr>
      <t>: ((</t>
    </r>
    <r>
      <rPr>
        <i/>
        <sz val="10"/>
        <rFont val="Trebuchet MS"/>
        <family val="2"/>
      </rPr>
      <t xml:space="preserve">Upslope Mound Height </t>
    </r>
    <r>
      <rPr>
        <i/>
        <sz val="10"/>
        <rFont val="Trebuchet MS"/>
        <family val="2"/>
      </rPr>
      <t>- 1</t>
    </r>
    <r>
      <rPr>
        <sz val="10"/>
        <rFont val="Trebuchet MS"/>
        <family val="2"/>
      </rPr>
      <t xml:space="preserve">) x 3 x </t>
    </r>
    <r>
      <rPr>
        <i/>
        <sz val="10"/>
        <rFont val="Trebuchet MS"/>
        <family val="2"/>
      </rPr>
      <t>Bed Length</t>
    </r>
    <r>
      <rPr>
        <sz val="10"/>
        <rFont val="Trebuchet MS"/>
        <family val="2"/>
      </rPr>
      <t xml:space="preserve">) </t>
    </r>
    <r>
      <rPr>
        <sz val="10"/>
        <rFont val="Arial"/>
        <family val="2"/>
      </rPr>
      <t>÷</t>
    </r>
    <r>
      <rPr>
        <sz val="10"/>
        <rFont val="Trebuchet MS"/>
        <family val="2"/>
      </rPr>
      <t xml:space="preserve"> 2 = cubic feet</t>
    </r>
  </si>
  <si>
    <r>
      <t xml:space="preserve">if number is negative (&lt;0), value is </t>
    </r>
    <r>
      <rPr>
        <b/>
        <sz val="10"/>
        <rFont val="Trebuchet MS"/>
        <family val="2"/>
      </rPr>
      <t>ZERO</t>
    </r>
  </si>
  <si>
    <t>)   /</t>
  </si>
  <si>
    <t>For a Mound on a slope from 0-1%</t>
  </si>
  <si>
    <t>Volume from Length = ((Upslope Mound Height - 1) X Absorption Width Beyond Bed X Media Bed Length)</t>
  </si>
  <si>
    <t xml:space="preserve">Volume from Width = ((Upslope Mound Height - 1) X Absorption Width Beyond Bed X Media Bed Width) </t>
  </si>
  <si>
    <t>For a Mound on a slope greater than 1%</t>
  </si>
  <si>
    <r>
      <t>Total Clean Sand Volume</t>
    </r>
    <r>
      <rPr>
        <sz val="10"/>
        <rFont val="Trebuchet MS"/>
        <family val="2"/>
      </rPr>
      <t xml:space="preserve">: </t>
    </r>
    <r>
      <rPr>
        <i/>
        <sz val="10"/>
        <rFont val="Trebuchet MS"/>
        <family val="2"/>
      </rPr>
      <t>Volume from Length + Volume from Width + Volume Under Media</t>
    </r>
  </si>
  <si>
    <r>
      <t>On Slopes &gt;1% Upslope Width</t>
    </r>
    <r>
      <rPr>
        <sz val="10"/>
        <rFont val="Trebuchet MS"/>
        <family val="2"/>
      </rPr>
      <t xml:space="preserve"> = </t>
    </r>
    <r>
      <rPr>
        <i/>
        <sz val="10"/>
        <rFont val="Trebuchet MS"/>
        <family val="2"/>
      </rPr>
      <t>Upslope Multiplier</t>
    </r>
    <r>
      <rPr>
        <sz val="10"/>
        <rFont val="Trebuchet MS"/>
        <family val="2"/>
      </rPr>
      <t xml:space="preserve"> (2.B) X </t>
    </r>
    <r>
      <rPr>
        <i/>
        <sz val="10"/>
        <rFont val="Trebuchet MS"/>
        <family val="2"/>
      </rPr>
      <t>System Height</t>
    </r>
    <r>
      <rPr>
        <sz val="10"/>
        <rFont val="Trebuchet MS"/>
        <family val="2"/>
      </rPr>
      <t xml:space="preserve"> (2.A)</t>
    </r>
  </si>
  <si>
    <t>On Slopes &lt;1%, Upslope Width = (0.5 X Absorption Bed Width (1.E)) +5 ft</t>
  </si>
  <si>
    <t>Determine Upslope Berm Width</t>
  </si>
  <si>
    <t>Choose B.2 or B.3 depending on slope</t>
  </si>
  <si>
    <t>Absorption Bed Width + 5 feet</t>
  </si>
  <si>
    <t>On slopes &lt;1%, Downslope Berm Width equals 0.5 X Absorption Bed Width + 5 feet</t>
  </si>
  <si>
    <t>Choose C.4 or C.5 depending on slope:</t>
  </si>
  <si>
    <t>Determine Downslope Berm Width</t>
  </si>
  <si>
    <t>Design Sand Lift (optional):</t>
  </si>
  <si>
    <t xml:space="preserve">     </t>
  </si>
  <si>
    <t>Designer's Max Bed Depth</t>
  </si>
  <si>
    <t>Designer's Max Trench Depth</t>
  </si>
  <si>
    <r>
      <t xml:space="preserve">If using a registered product, enter the </t>
    </r>
    <r>
      <rPr>
        <i/>
        <sz val="10"/>
        <rFont val="Trebuchet MS"/>
        <family val="2"/>
      </rPr>
      <t>Component Length</t>
    </r>
    <r>
      <rPr>
        <sz val="10"/>
        <rFont val="Trebuchet MS"/>
        <family val="2"/>
      </rPr>
      <t>:</t>
    </r>
  </si>
  <si>
    <r>
      <t xml:space="preserve">If using a registered product, enter the </t>
    </r>
    <r>
      <rPr>
        <i/>
        <sz val="10"/>
        <rFont val="Trebuchet MS"/>
        <family val="2"/>
      </rPr>
      <t>Component Width</t>
    </r>
    <r>
      <rPr>
        <sz val="10"/>
        <rFont val="Trebuchet MS"/>
        <family val="2"/>
      </rPr>
      <t>:</t>
    </r>
  </si>
  <si>
    <r>
      <rPr>
        <i/>
        <sz val="10"/>
        <rFont val="Trebuchet MS"/>
        <family val="2"/>
      </rPr>
      <t>Total Number of Components</t>
    </r>
    <r>
      <rPr>
        <sz val="10"/>
        <rFont val="Trebuchet MS"/>
        <family val="2"/>
      </rPr>
      <t xml:space="preserve"> =</t>
    </r>
    <r>
      <rPr>
        <i/>
        <sz val="10"/>
        <rFont val="Trebuchet MS"/>
        <family val="2"/>
      </rPr>
      <t xml:space="preserve"> Number of Components per Row</t>
    </r>
    <r>
      <rPr>
        <sz val="10"/>
        <rFont val="Trebuchet MS"/>
        <family val="2"/>
      </rPr>
      <t xml:space="preserve"> X </t>
    </r>
    <r>
      <rPr>
        <i/>
        <sz val="10"/>
        <rFont val="Trebuchet MS"/>
        <family val="2"/>
      </rPr>
      <t>Number of Rows</t>
    </r>
  </si>
  <si>
    <t>Adjust Contour Loading Rate on Design Summary page until this number is a whole number</t>
  </si>
  <si>
    <t>O.</t>
  </si>
  <si>
    <t>P.</t>
  </si>
  <si>
    <r>
      <rPr>
        <i/>
        <sz val="10"/>
        <rFont val="Trebuchet MS"/>
        <family val="2"/>
      </rPr>
      <t>Number of Components per Row</t>
    </r>
    <r>
      <rPr>
        <sz val="10"/>
        <rFont val="Trebuchet MS"/>
        <family val="2"/>
      </rPr>
      <t xml:space="preserve"> = </t>
    </r>
    <r>
      <rPr>
        <i/>
        <sz val="10"/>
        <rFont val="Trebuchet MS"/>
        <family val="2"/>
      </rPr>
      <t>Bed Length</t>
    </r>
    <r>
      <rPr>
        <sz val="10"/>
        <rFont val="Trebuchet MS"/>
        <family val="2"/>
      </rPr>
      <t xml:space="preserve"> (1.F) divided by </t>
    </r>
    <r>
      <rPr>
        <i/>
        <sz val="10"/>
        <rFont val="Trebuchet MS"/>
        <family val="2"/>
      </rPr>
      <t xml:space="preserve">Component Length </t>
    </r>
    <r>
      <rPr>
        <sz val="10"/>
        <rFont val="Trebuchet MS"/>
        <family val="2"/>
      </rPr>
      <t>(2.L) (Round up)</t>
    </r>
  </si>
  <si>
    <r>
      <rPr>
        <i/>
        <sz val="10"/>
        <rFont val="Trebuchet MS"/>
        <family val="2"/>
      </rPr>
      <t>Number of Rows</t>
    </r>
    <r>
      <rPr>
        <sz val="10"/>
        <rFont val="Trebuchet MS"/>
        <family val="2"/>
      </rPr>
      <t xml:space="preserve"> = </t>
    </r>
    <r>
      <rPr>
        <i/>
        <sz val="10"/>
        <rFont val="Trebuchet MS"/>
        <family val="2"/>
      </rPr>
      <t>Bed Width</t>
    </r>
    <r>
      <rPr>
        <sz val="10"/>
        <rFont val="Trebuchet MS"/>
        <family val="2"/>
      </rPr>
      <t xml:space="preserve"> (1.E) divided by </t>
    </r>
    <r>
      <rPr>
        <i/>
        <sz val="10"/>
        <rFont val="Trebuchet MS"/>
        <family val="2"/>
      </rPr>
      <t>Component Width</t>
    </r>
    <r>
      <rPr>
        <sz val="10"/>
        <rFont val="Trebuchet MS"/>
        <family val="2"/>
      </rPr>
      <t xml:space="preserve"> (2.M) (Round up)</t>
    </r>
  </si>
  <si>
    <t>gals   X     4    =</t>
  </si>
  <si>
    <t>Min. Delivered Dose Volume = Four X the Total Volume of Piping =</t>
  </si>
  <si>
    <t>LOADING RATES FOR DETERMINING BOTTOM ABSORPTION AREA AND ABSORPTION RATIOS USING DETAILED SOIL DESCRIPTIONS*</t>
  </si>
  <si>
    <t>USDA Soil Texture</t>
  </si>
  <si>
    <t>Soil Structure and Grade</t>
  </si>
  <si>
    <t>Treatment Level C</t>
  </si>
  <si>
    <t>Treatment Level A, A-2, B, B-2</t>
  </si>
  <si>
    <t>Sand, coarse sand, loamy sand, loamy coarse sand, fine sand, very fine sand, loamy fine sand, loamy very fine sand, 35-50% rock fragments</t>
  </si>
  <si>
    <t>Single grain, granular, blocky, or prismatic structure; weak grade</t>
  </si>
  <si>
    <t>**</t>
  </si>
  <si>
    <t>Sand, coarse sand, loamy sand, loamy coarse sand, &lt;35% rock fragments</t>
  </si>
  <si>
    <t>Sandy loam, coarse sandy loam, fine sandy loam, very fine sandy loam</t>
  </si>
  <si>
    <t>Granular, blocky or prismatic structure; weak to strong grade</t>
  </si>
  <si>
    <t>Platy with weak grade or massive</t>
  </si>
  <si>
    <t>Silt loam, silt</t>
  </si>
  <si>
    <t>Clay loam, sandy clay loam, silty clay loam</t>
  </si>
  <si>
    <t>Granular, blocky, or prismatic structure; moderate to strong grade</t>
  </si>
  <si>
    <t>Clay, sandy clay, silty clay</t>
  </si>
  <si>
    <t>** Conduct percolation test and size under Table Ixa.  May need to be designed under part 7080.2300.</t>
  </si>
  <si>
    <t>LOADING RATES FOR DETERMINING BOTTOM ABSORPTION AREA AND ABSORPTION RATIOS USING PERCOLATION TESTS</t>
  </si>
  <si>
    <t>Percolation Rate (MPI)</t>
  </si>
  <si>
    <t>&lt;0.1</t>
  </si>
  <si>
    <t>0.1 to 5 (fine sand and loamy fine sand)</t>
  </si>
  <si>
    <t>61 to 120</t>
  </si>
  <si>
    <t>&gt;120</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</si>
  <si>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</si>
  <si>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</si>
  <si>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</si>
  <si>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</si>
  <si>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TABLE IXa</t>
  </si>
  <si>
    <t>Loamy Sand</t>
  </si>
  <si>
    <t>Loamy Coarse Sand</t>
  </si>
  <si>
    <t>Very Fine Sand</t>
  </si>
  <si>
    <t>Loamy Fine Sand</t>
  </si>
  <si>
    <t>Loamy Very Fine Sand</t>
  </si>
  <si>
    <t>Silt</t>
  </si>
  <si>
    <t xml:space="preserve">1.  </t>
  </si>
  <si>
    <t>PUMP CAPACITY</t>
  </si>
  <si>
    <t>35-50%</t>
  </si>
  <si>
    <t>&gt;50%</t>
  </si>
  <si>
    <t>Use 1.0 ft for dwellings using 3/16 to 1/4  inch perforations.</t>
  </si>
  <si>
    <t>Use 2.0 ft for dwellings using 1/8 inch perforations; or, for MSTS or other establishments using 3/16 to 1/4 inch perforations.</t>
  </si>
  <si>
    <t>OSTP At-Grade Design Worksheet</t>
  </si>
  <si>
    <t>MPI</t>
  </si>
  <si>
    <t>Dispersal Area</t>
  </si>
  <si>
    <t>Probe</t>
  </si>
  <si>
    <t>Auger</t>
  </si>
  <si>
    <t>Soil Pit</t>
  </si>
  <si>
    <t xml:space="preserve">ObservationType </t>
  </si>
  <si>
    <t>OSTP Basic Pump Selection Design Worksheet</t>
  </si>
  <si>
    <t>ft ÷</t>
  </si>
  <si>
    <t>components</t>
  </si>
  <si>
    <t>ft  ÷</t>
  </si>
  <si>
    <t xml:space="preserve">ft  = </t>
  </si>
  <si>
    <t>rows</t>
  </si>
  <si>
    <t xml:space="preserve"> =</t>
  </si>
  <si>
    <t>(10 - 45 gpm)</t>
  </si>
  <si>
    <t>( 0.5</t>
  </si>
  <si>
    <t>components/row</t>
  </si>
  <si>
    <r>
      <t>ft</t>
    </r>
    <r>
      <rPr>
        <vertAlign val="superscript"/>
        <sz val="10"/>
        <rFont val="Trebuchet MS"/>
        <family val="2"/>
      </rPr>
      <t>3</t>
    </r>
    <r>
      <rPr>
        <sz val="10"/>
        <rFont val="Trebuchet MS"/>
        <family val="2"/>
      </rPr>
      <t xml:space="preserve">    =</t>
    </r>
  </si>
  <si>
    <t>If rock is used as the distribution media:</t>
  </si>
  <si>
    <t xml:space="preserve">H. </t>
  </si>
  <si>
    <t>ft +</t>
  </si>
  <si>
    <t>ft -</t>
  </si>
  <si>
    <t>ft  -</t>
  </si>
  <si>
    <t>OSTP Collection Pump Selection Design Worksheet</t>
  </si>
  <si>
    <t>If pumping to gravity enter the gallon per minute of the pump:</t>
  </si>
  <si>
    <t>GPM (Line 1) with at least</t>
  </si>
  <si>
    <t>*Systems with these values are not Type I systems.  Contour Loading Rate (linear loading rate) is a recommended value.</t>
  </si>
  <si>
    <t>If pumping to pressure:</t>
  </si>
  <si>
    <r>
      <t xml:space="preserve">Enter the </t>
    </r>
    <r>
      <rPr>
        <i/>
        <sz val="10"/>
        <rFont val="Trebuchet MS"/>
        <family val="2"/>
      </rPr>
      <t xml:space="preserve">n </t>
    </r>
    <r>
      <rPr>
        <sz val="10"/>
        <rFont val="Trebuchet MS"/>
        <family val="2"/>
      </rPr>
      <t>value:</t>
    </r>
  </si>
  <si>
    <t xml:space="preserve">Enter the peak value (PV): </t>
  </si>
  <si>
    <r>
      <t xml:space="preserve">Flow = PV multiplied by </t>
    </r>
    <r>
      <rPr>
        <i/>
        <sz val="10"/>
        <rFont val="Trebuchet MS"/>
        <family val="2"/>
      </rPr>
      <t>n</t>
    </r>
    <r>
      <rPr>
        <i/>
        <sz val="10"/>
        <rFont val="Trebuchet MS"/>
        <family val="2"/>
      </rPr>
      <t xml:space="preserve"> = </t>
    </r>
  </si>
  <si>
    <t>GPM X</t>
  </si>
  <si>
    <t>pumps</t>
  </si>
  <si>
    <t xml:space="preserve">pumps     = </t>
  </si>
  <si>
    <t>Fine sand, very fine sand, loamy fine sand, loamy very fine sand, &lt;35% rock fragments</t>
  </si>
  <si>
    <t>Tank Manufacturer:</t>
  </si>
  <si>
    <t>Tank Model:</t>
  </si>
  <si>
    <t>Width:</t>
  </si>
  <si>
    <r>
      <t>Total Berm Volume (approx)</t>
    </r>
    <r>
      <rPr>
        <sz val="10"/>
        <rFont val="Trebuchet MS"/>
        <family val="2"/>
      </rPr>
      <t xml:space="preserve">: ((Avg. Mound Height - 0.5 ft topsoil) x Mound Width x Mound Length) </t>
    </r>
    <r>
      <rPr>
        <sz val="10"/>
        <rFont val="Arial"/>
        <family val="2"/>
      </rPr>
      <t>÷</t>
    </r>
    <r>
      <rPr>
        <sz val="10"/>
        <rFont val="Trebuchet MS"/>
        <family val="2"/>
      </rPr>
      <t xml:space="preserve"> 2 = cubic feet</t>
    </r>
  </si>
  <si>
    <t>2.  If pumping to a pressurized distribution system:</t>
  </si>
  <si>
    <t>1. Supply Pipe Diameter:</t>
  </si>
  <si>
    <t>2. Supply Pipe Length:</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</si>
  <si>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Supply Pipe Length (D.2)</t>
    </r>
    <r>
      <rPr>
        <sz val="10"/>
        <rFont val="Trebuchet MS"/>
        <family val="2"/>
      </rPr>
      <t xml:space="preserve"> 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</si>
  <si>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(Line E) by the </t>
    </r>
    <r>
      <rPr>
        <i/>
        <sz val="10"/>
        <rFont val="Trebuchet MS"/>
        <family val="2"/>
      </rPr>
      <t>Equivalent Pipe Length</t>
    </r>
    <r>
      <rPr>
        <sz val="10"/>
        <rFont val="Trebuchet MS"/>
        <family val="2"/>
      </rPr>
      <t xml:space="preserve"> (Line F) and divide by 100.</t>
    </r>
  </si>
  <si>
    <r>
      <t>Total Head</t>
    </r>
    <r>
      <rPr>
        <sz val="10"/>
        <rFont val="Trebuchet MS"/>
        <family val="2"/>
      </rPr>
      <t xml:space="preserve"> requirement is the sum of the </t>
    </r>
    <r>
      <rPr>
        <i/>
        <sz val="10"/>
        <rFont val="Trebuchet MS"/>
        <family val="2"/>
      </rPr>
      <t>Elevation Difference</t>
    </r>
    <r>
      <rPr>
        <sz val="10"/>
        <rFont val="Trebuchet MS"/>
        <family val="2"/>
      </rPr>
      <t xml:space="preserve"> (Line A), the Distribution Head Loss (Line B), Additional Head Loss (Line C), and the Supply Friction Loss (Line G )</t>
    </r>
  </si>
  <si>
    <t>1.  Pipe Diameter:</t>
  </si>
  <si>
    <t>2.  Pipe Length:</t>
  </si>
  <si>
    <r>
      <t>Total Head</t>
    </r>
    <r>
      <rPr>
        <sz val="10"/>
        <rFont val="Trebuchet MS"/>
        <family val="2"/>
      </rPr>
      <t xml:space="preserve"> requirement is the sum of the </t>
    </r>
    <r>
      <rPr>
        <i/>
        <sz val="10"/>
        <rFont val="Trebuchet MS"/>
        <family val="2"/>
      </rPr>
      <t>Elevation Difference</t>
    </r>
    <r>
      <rPr>
        <sz val="10"/>
        <rFont val="Trebuchet MS"/>
        <family val="2"/>
      </rPr>
      <t xml:space="preserve"> (Line 2.A) and the Friction Loss from the Supply Pipe and Pipe Fittings for collection systems (Line F)</t>
    </r>
  </si>
  <si>
    <t>feet of total head (Line G).</t>
  </si>
  <si>
    <t>If drainfield rock is being used, select sidewall absorption</t>
  </si>
  <si>
    <t xml:space="preserve">1.0 = pressurized or 1.5 = gravity </t>
  </si>
  <si>
    <r>
      <t>ft</t>
    </r>
    <r>
      <rPr>
        <vertAlign val="superscript"/>
        <sz val="10"/>
        <rFont val="Trebuchet MS"/>
        <family val="2"/>
      </rPr>
      <t>2</t>
    </r>
    <r>
      <rPr>
        <sz val="10"/>
        <rFont val="Trebuchet MS"/>
        <family val="2"/>
      </rPr>
      <t xml:space="preserve"> X</t>
    </r>
  </si>
  <si>
    <r>
      <rPr>
        <b/>
        <sz val="10"/>
        <rFont val="Trebuchet MS"/>
        <family val="2"/>
      </rPr>
      <t>Friction Loss in Plastic Pipe per 100ft</t>
    </r>
    <r>
      <rPr>
        <sz val="10"/>
        <rFont val="Trebuchet MS"/>
        <family val="2"/>
      </rPr>
      <t xml:space="preserve"> from Table I:</t>
    </r>
  </si>
  <si>
    <t xml:space="preserve">Additional Info for Type IV/Pretreatment Design </t>
  </si>
  <si>
    <t>Type of Pretreatment Unit Being Installed:</t>
  </si>
  <si>
    <r>
      <t>Number of Perforation Spaces</t>
    </r>
    <r>
      <rPr>
        <sz val="10"/>
        <rFont val="Trebuchet MS"/>
        <family val="2"/>
      </rPr>
      <t xml:space="preserve"> = Divide the Length of Lateral 1 (7.B) by  the Perforation Spacing (Line 7.A) and round down to the nearest whole number.  Check Table II to ensure the maximum number of perforations is not exceeded.</t>
    </r>
  </si>
  <si>
    <t>Bedrock</t>
  </si>
  <si>
    <t>Project ID:</t>
  </si>
  <si>
    <t xml:space="preserve">Project ID:  </t>
  </si>
  <si>
    <r>
      <t>Length of Laterals</t>
    </r>
    <r>
      <rPr>
        <sz val="10"/>
        <rFont val="Trebuchet MS"/>
        <family val="2"/>
      </rPr>
      <t xml:space="preserve"> = Media Bed Length - 2 Feet.   </t>
    </r>
  </si>
  <si>
    <t>Perforation can not be closer then 1 foot from edge.</t>
  </si>
  <si>
    <t>Optional upsizing of bed area</t>
  </si>
  <si>
    <t>Designed Bottom Area:</t>
  </si>
  <si>
    <t xml:space="preserve">TABLE IX </t>
  </si>
  <si>
    <r>
      <t>Absorption Area Loading Rate (gpd/ft</t>
    </r>
    <r>
      <rPr>
        <b/>
        <vertAlign val="superscript"/>
        <sz val="10"/>
        <color indexed="8"/>
        <rFont val="Trebuchet MS"/>
        <family val="2"/>
      </rPr>
      <t>2</t>
    </r>
    <r>
      <rPr>
        <b/>
        <sz val="10"/>
        <color indexed="8"/>
        <rFont val="Trebuchet MS"/>
        <family val="2"/>
      </rPr>
      <t>)</t>
    </r>
  </si>
  <si>
    <t xml:space="preserve">a. </t>
  </si>
  <si>
    <r>
      <t xml:space="preserve">Calculate the </t>
    </r>
    <r>
      <rPr>
        <i/>
        <sz val="10"/>
        <rFont val="Trebuchet MS"/>
        <family val="2"/>
      </rPr>
      <t>Square Feet per Perforation.  Recommended value is 4-11 ft</t>
    </r>
    <r>
      <rPr>
        <i/>
        <vertAlign val="superscript"/>
        <sz val="10"/>
        <rFont val="Trebuchet MS"/>
        <family val="2"/>
      </rPr>
      <t>2</t>
    </r>
    <r>
      <rPr>
        <i/>
        <sz val="10"/>
        <rFont val="Trebuchet MS"/>
        <family val="2"/>
      </rPr>
      <t xml:space="preserve"> per perforation.  </t>
    </r>
  </si>
  <si>
    <t>Septic Tanks:</t>
  </si>
  <si>
    <t>Type of High Level Alarm:</t>
  </si>
  <si>
    <r>
      <t>Organic Loading</t>
    </r>
    <r>
      <rPr>
        <sz val="10"/>
        <rFont val="Trebuchet MS"/>
        <family val="2"/>
      </rPr>
      <t xml:space="preserve"> </t>
    </r>
    <r>
      <rPr>
        <i/>
        <sz val="10"/>
        <rFont val="Trebuchet MS"/>
        <family val="2"/>
      </rPr>
      <t xml:space="preserve">to Pretreatment Unit </t>
    </r>
    <r>
      <rPr>
        <sz val="10"/>
        <rFont val="Trebuchet MS"/>
        <family val="2"/>
      </rPr>
      <t xml:space="preserve">= </t>
    </r>
    <r>
      <rPr>
        <i/>
        <sz val="10"/>
        <rFont val="Trebuchet MS"/>
        <family val="2"/>
      </rPr>
      <t>Design Flow</t>
    </r>
    <r>
      <rPr>
        <sz val="10"/>
        <rFont val="Trebuchet MS"/>
        <family val="2"/>
      </rPr>
      <t xml:space="preserve"> X </t>
    </r>
    <r>
      <rPr>
        <i/>
        <sz val="10"/>
        <rFont val="Trebuchet MS"/>
        <family val="2"/>
      </rPr>
      <t>Estimated BOD</t>
    </r>
    <r>
      <rPr>
        <sz val="10"/>
        <rFont val="Trebuchet MS"/>
        <family val="2"/>
      </rPr>
      <t xml:space="preserve"> in mg/L in the effluent X 8.35 ÷ 1,000,000 </t>
    </r>
  </si>
  <si>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</si>
  <si>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</si>
  <si>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</si>
  <si>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</si>
  <si>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</si>
  <si>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</si>
  <si>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Or calculated: GPM = Change in Depth (in) x Gallons Per Inch / Time Interval in Minutes</t>
  </si>
  <si>
    <t>Total Dosing Volume/GPM</t>
  </si>
  <si>
    <r>
      <t>Minutes Per Day (1440)/</t>
    </r>
    <r>
      <rPr>
        <i/>
        <sz val="10"/>
        <rFont val="Trebuchet MS"/>
        <family val="2"/>
      </rPr>
      <t xml:space="preserve">Doses Per Day - </t>
    </r>
    <r>
      <rPr>
        <sz val="10"/>
        <rFont val="Trebuchet MS"/>
        <family val="2"/>
      </rPr>
      <t xml:space="preserve">Minutes On </t>
    </r>
  </si>
  <si>
    <t>Gallons per inch from manufacturer:</t>
  </si>
  <si>
    <t>Liquid depth of tank from manufacturer:</t>
  </si>
  <si>
    <t xml:space="preserve">Total Dosing Volume /Gallons Per Inch </t>
  </si>
  <si>
    <t>Distance to set Pump Off Float=Gallons to Cover Pump  / Gallons Per Inch:</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</si>
  <si>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</si>
  <si>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</si>
  <si>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</si>
  <si>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r>
      <t xml:space="preserve">Select </t>
    </r>
    <r>
      <rPr>
        <i/>
        <sz val="10"/>
        <rFont val="Trebuchet MS"/>
        <family val="2"/>
      </rPr>
      <t>Perforation Discharge</t>
    </r>
    <r>
      <rPr>
        <sz val="10"/>
        <rFont val="Trebuchet MS"/>
        <family val="2"/>
      </rPr>
      <t xml:space="preserve"> (GPM) based on Table:</t>
    </r>
  </si>
  <si>
    <t>Perfs     X</t>
  </si>
  <si>
    <t>GPM per Perforation =</t>
  </si>
  <si>
    <t>Coarse Sandy Loam</t>
  </si>
  <si>
    <t>Fine Sandy Loam</t>
  </si>
  <si>
    <t>Very Fine Sandy Loam</t>
  </si>
  <si>
    <r>
      <t>Select Lateral Diameter (See Table)</t>
    </r>
    <r>
      <rPr>
        <sz val="10"/>
        <rFont val="Trebuchet MS"/>
        <family val="2"/>
      </rPr>
      <t>:</t>
    </r>
  </si>
  <si>
    <t>OSTP Trench Design Worksheet</t>
  </si>
  <si>
    <t xml:space="preserve">ft </t>
  </si>
  <si>
    <t>Tanks or Compartments</t>
  </si>
  <si>
    <t>Gallons, in</t>
  </si>
  <si>
    <t>Recommended</t>
  </si>
  <si>
    <t>&lt;35%</t>
  </si>
  <si>
    <t>(selection required)</t>
  </si>
  <si>
    <t>Holding Tanks Only:</t>
  </si>
  <si>
    <t>OSTP Bed Design Worksheet</t>
  </si>
  <si>
    <t>MEASURED TANK CAPACITY (existing tanks):</t>
  </si>
  <si>
    <t>Capacity from manufacturer:</t>
  </si>
  <si>
    <r>
      <t xml:space="preserve">(Pump and block height + 2 inches) X </t>
    </r>
    <r>
      <rPr>
        <i/>
        <sz val="10"/>
        <rFont val="Trebuchet MS"/>
        <family val="2"/>
      </rPr>
      <t>Gallons Per Inch</t>
    </r>
    <r>
      <rPr>
        <sz val="10"/>
        <rFont val="Trebuchet MS"/>
        <family val="2"/>
      </rPr>
      <t xml:space="preserve"> (2C or 3E)</t>
    </r>
  </si>
  <si>
    <t>Note: Design calculations are based on this specific tank. Substituting a different tank model will change the pump float or timer settings. Contact designer if changes are necessary.</t>
  </si>
  <si>
    <t>Date:</t>
  </si>
  <si>
    <t>gal</t>
  </si>
  <si>
    <t>Code Maximum Trench Depth</t>
  </si>
  <si>
    <t>Code Maximum Bed Depth</t>
  </si>
  <si>
    <t>TRENCH CONFIGURATION: ROCK</t>
  </si>
  <si>
    <t>Registered Product:</t>
  </si>
  <si>
    <t xml:space="preserve">Registered Width:  </t>
  </si>
  <si>
    <t>Recommended Septic Tank Capacity:</t>
  </si>
  <si>
    <t>Soil Loading Rate:</t>
  </si>
  <si>
    <t>% Land Slope:</t>
  </si>
  <si>
    <t>On slopes &gt;1%, Downslope Berm Width equals greater of C.2 and C.3 =</t>
  </si>
  <si>
    <r>
      <t>GPD/ft</t>
    </r>
    <r>
      <rPr>
        <vertAlign val="superscript"/>
        <sz val="10"/>
        <rFont val="Trebuchet MS"/>
        <family val="2"/>
      </rPr>
      <t>2</t>
    </r>
    <r>
      <rPr>
        <sz val="10"/>
        <rFont val="Trebuchet MS"/>
        <family val="2"/>
      </rPr>
      <t xml:space="preserve">             =</t>
    </r>
  </si>
  <si>
    <r>
      <t xml:space="preserve">Upslope Multiplier </t>
    </r>
    <r>
      <rPr>
        <sz val="10"/>
        <rFont val="Trebuchet MS"/>
        <family val="2"/>
      </rPr>
      <t>based on percent slope (see Slope Multipler Table)</t>
    </r>
  </si>
  <si>
    <r>
      <t>yd</t>
    </r>
    <r>
      <rPr>
        <vertAlign val="superscript"/>
        <sz val="10"/>
        <rFont val="Trebuchet MS"/>
        <family val="2"/>
      </rPr>
      <t>3</t>
    </r>
    <r>
      <rPr>
        <sz val="10"/>
        <rFont val="Trebuchet MS"/>
        <family val="2"/>
      </rPr>
      <t xml:space="preserve">  x</t>
    </r>
  </si>
  <si>
    <r>
      <t>Downslope Multiplier</t>
    </r>
    <r>
      <rPr>
        <sz val="10"/>
        <rFont val="Trebuchet MS"/>
        <family val="2"/>
      </rPr>
      <t xml:space="preserve"> based on percent slope (see Table):</t>
    </r>
  </si>
  <si>
    <t>Cannot exceed 15 feet</t>
  </si>
  <si>
    <t xml:space="preserve">ft ) + 5 ft = </t>
  </si>
  <si>
    <t>(  0.5  X</t>
  </si>
  <si>
    <t xml:space="preserve">5 ft  = </t>
  </si>
  <si>
    <r>
      <t xml:space="preserve"> yd</t>
    </r>
    <r>
      <rPr>
        <vertAlign val="superscript"/>
        <sz val="10"/>
        <rFont val="Trebuchet MS"/>
        <family val="2"/>
      </rPr>
      <t>3</t>
    </r>
    <r>
      <rPr>
        <sz val="10"/>
        <rFont val="Trebuchet MS"/>
        <family val="2"/>
      </rPr>
      <t xml:space="preserve"> </t>
    </r>
  </si>
  <si>
    <t>÷ 2 -</t>
  </si>
  <si>
    <t>ft  X 1.5</t>
  </si>
  <si>
    <r>
      <t xml:space="preserve"> yd</t>
    </r>
    <r>
      <rPr>
        <vertAlign val="superscript"/>
        <sz val="10"/>
        <rFont val="Trebuchet MS"/>
        <family val="2"/>
      </rPr>
      <t>3</t>
    </r>
    <r>
      <rPr>
        <sz val="10"/>
        <rFont val="Trebuchet MS"/>
        <family val="2"/>
      </rPr>
      <t xml:space="preserve">  x 1.2 = </t>
    </r>
  </si>
  <si>
    <t>Downlsope Width = Downslope Multiplier X System Height</t>
  </si>
  <si>
    <t>1. Design Summary</t>
  </si>
  <si>
    <t>2. Design Sketch</t>
  </si>
  <si>
    <t>3. Trench &amp; Bed</t>
  </si>
  <si>
    <t xml:space="preserve">4.  Mound </t>
  </si>
  <si>
    <t>5.  Mound Materials</t>
  </si>
  <si>
    <t>6. At-Grade</t>
  </si>
  <si>
    <t>There are two ways you can utilize this workbook:</t>
  </si>
  <si>
    <t>1. You can use the Excel worksheet on a computer and fill in the values on a computer &amp; print out the results or email them.  Using this function you must be sure to enable macros if asked this by Excel, or</t>
  </si>
  <si>
    <t>2. You can print blank copies of the worksheets and fill them out by hand.</t>
  </si>
  <si>
    <t>SECURITY LEVEL &amp; MACROS</t>
  </si>
  <si>
    <t>This file contains macros which are imbedded formulas to do some of the calculations.  In order for these to work:</t>
  </si>
  <si>
    <t xml:space="preserve">1.  Your security level must be medium or low (not the default of high). This can be changed under Tools, Macro, Security. In Office 2007, click the Microsoft Office Button, then click the Excel Options. Select the Trust Center, Settings, and then click Macro Settings to enable. </t>
  </si>
  <si>
    <t>2.  If prompted enable the macros.</t>
  </si>
  <si>
    <t>INPUTS</t>
  </si>
  <si>
    <t>Green cells are cells that will fill in automatically as you enter values into the orange cells.</t>
  </si>
  <si>
    <t>CHECK BOXES</t>
  </si>
  <si>
    <t>Many of the worksheets have check boxes that one may check on the computer.  If these are not working, you are most likely is in "design mode" in excel.  To fix this, from the menu, select View, Toolbars, and then select "Control Toolbox".  Now a new toolbar will appear in your menu bar.  There is a button that looks like a ruler and a speed square.  Click it to get out of design mode.  Now the check boxes should work.</t>
  </si>
  <si>
    <t>DROP DOWN MENUS</t>
  </si>
  <si>
    <t>Some of the orange cells have a drop-down menu function.  A small arrow pointing downwards will appear in the lower right corner of the cells with a drop-down menu.  You MUST choose one of the values in the drop-down menu.  To erase the value, simply highlight the cell and press the Delete key on your keyboard.</t>
  </si>
  <si>
    <t>NOTE:  Most of the cells in this workbook have a great deal of complex formatting and formulas in the background.  If you alter the formulas, the workbook will not function properly.  It would be a good idea to copy this workbook and always work with the the copy, so the original can be utilized for back-up purposes only.</t>
  </si>
  <si>
    <t xml:space="preserve">PRINTING </t>
  </si>
  <si>
    <t>The worksheets should display and print at 100%. This makes the worksheets readable and able to be filled in by hand.  The worksheets can be printed in either color or black and white.  You may need to set your computer/printer to grayscale option or you may wish to change the colored portions of the worksheets. Each sheet that is part of your design must be printed separately as there is not a way to print them all at one time.</t>
  </si>
  <si>
    <t>SAVING</t>
  </si>
  <si>
    <t>Each time a design is done the file should be saved with a unique file name. Keep an original version of the workbook with no data entered.  To have a version which can not be altered you can create at PDF.  Creating a PDF requires the full version of Adobe Acrobat which is software you may not have.  The other option is to go to "Tools"..."Protection"..."Protect Worksheet" and save the file for that particular job which it what the overall plan for how to do this.</t>
  </si>
  <si>
    <t>CREDITS</t>
  </si>
  <si>
    <t>11. Pump Selection</t>
  </si>
  <si>
    <t>7. Pressure Distribution</t>
  </si>
  <si>
    <t>10. Non-Level Pressure Distribution</t>
  </si>
  <si>
    <t>Contact Information</t>
  </si>
  <si>
    <t>Address:</t>
  </si>
  <si>
    <t xml:space="preserve">List any construction issues:    </t>
  </si>
  <si>
    <t>Mapping Checklist</t>
  </si>
  <si>
    <t>Map scale:</t>
  </si>
  <si>
    <t>indicate north</t>
  </si>
  <si>
    <t xml:space="preserve">show slope    </t>
  </si>
  <si>
    <t xml:space="preserve">%  direction </t>
  </si>
  <si>
    <t>Locate</t>
  </si>
  <si>
    <t>Easements</t>
  </si>
  <si>
    <t>Setbacks</t>
  </si>
  <si>
    <t>Elevations</t>
  </si>
  <si>
    <t>OSTP Proposed Design Map</t>
  </si>
  <si>
    <t>Elevations in feet</t>
  </si>
  <si>
    <t>System Corners:</t>
  </si>
  <si>
    <t xml:space="preserve">  NW:</t>
  </si>
  <si>
    <t xml:space="preserve">  NE:</t>
  </si>
  <si>
    <t xml:space="preserve">  SW:</t>
  </si>
  <si>
    <t xml:space="preserve">  SE:</t>
  </si>
  <si>
    <t>Soil Borings:</t>
  </si>
  <si>
    <t xml:space="preserve">  #1:</t>
  </si>
  <si>
    <t xml:space="preserve">  #2:</t>
  </si>
  <si>
    <t xml:space="preserve">  #3:</t>
  </si>
  <si>
    <t>Tank Outlet:</t>
  </si>
  <si>
    <t>Designers Maximum Depth:</t>
  </si>
  <si>
    <r>
      <t xml:space="preserve"> GPD/ft</t>
    </r>
    <r>
      <rPr>
        <vertAlign val="superscript"/>
        <sz val="10"/>
        <rFont val="Trebuchet MS"/>
        <family val="2"/>
      </rPr>
      <t xml:space="preserve">2    </t>
    </r>
    <r>
      <rPr>
        <sz val="10"/>
        <rFont val="Trebuchet MS"/>
        <family val="2"/>
      </rPr>
      <t>=</t>
    </r>
  </si>
  <si>
    <r>
      <t>Design Flow</t>
    </r>
    <r>
      <rPr>
        <sz val="8"/>
        <rFont val="Trebuchet MS"/>
        <family val="2"/>
      </rPr>
      <t>:</t>
    </r>
  </si>
  <si>
    <t>Design Flow :</t>
  </si>
  <si>
    <t>Cannot be less than line 2 (accept in at-grades)</t>
  </si>
  <si>
    <t>CoarseFragments</t>
  </si>
  <si>
    <t>Perc Rate:</t>
  </si>
  <si>
    <t>Code Maximum Depth of System:</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</si>
  <si>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</si>
  <si>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</si>
  <si>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</si>
  <si>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</si>
  <si>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</si>
  <si>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</si>
  <si>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</si>
  <si>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</si>
  <si>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</si>
  <si>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</si>
  <si>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</si>
  <si>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</si>
  <si>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</si>
  <si>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</si>
  <si>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</si>
  <si>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</si>
  <si>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</si>
  <si>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</si>
  <si>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</si>
  <si>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</si>
  <si>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</si>
  <si>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</si>
  <si>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</si>
  <si>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</si>
  <si>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</si>
  <si>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</si>
  <si>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</si>
  <si>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</si>
  <si>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</si>
  <si>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</si>
  <si>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</si>
  <si>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</si>
  <si>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</si>
  <si>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</si>
  <si>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</si>
  <si>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</si>
  <si>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</si>
  <si>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</si>
  <si>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</si>
  <si>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</si>
  <si>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</si>
  <si>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</si>
  <si>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</si>
  <si>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</si>
  <si>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</si>
  <si>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</si>
  <si>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</si>
  <si>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</si>
  <si>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</si>
  <si>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</si>
  <si>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</si>
  <si>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</si>
  <si>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 xml:space="preserve">These worksheets were created in Microsoft Excel. You must have a software program that can open .xls documents to use these forms. </t>
  </si>
  <si>
    <t>Spacing (in)</t>
  </si>
  <si>
    <t>Minimum Required Separation:</t>
  </si>
  <si>
    <t>Depth to Limiting Layer:</t>
  </si>
  <si>
    <t>Camp, day and night with meals</t>
  </si>
  <si>
    <t>Elevation (ft)</t>
  </si>
  <si>
    <t xml:space="preserve">Inches for Dose:  </t>
  </si>
  <si>
    <t>3.  Enter pump description:</t>
  </si>
  <si>
    <t>PumpType</t>
  </si>
  <si>
    <t>Equalization/Time Dosing</t>
  </si>
  <si>
    <r>
      <t xml:space="preserve">ft </t>
    </r>
    <r>
      <rPr>
        <sz val="8"/>
        <rFont val="Trebuchet MS"/>
        <family val="2"/>
      </rPr>
      <t>(due to special equipment, etc.)</t>
    </r>
  </si>
  <si>
    <t>PumpTankType</t>
  </si>
  <si>
    <r>
      <rPr>
        <i/>
        <sz val="10"/>
        <rFont val="Trebuchet MS"/>
        <family val="2"/>
      </rPr>
      <t>Pump Tank 1</t>
    </r>
    <r>
      <rPr>
        <sz val="10"/>
        <rFont val="Trebuchet MS"/>
        <family val="2"/>
      </rPr>
      <t xml:space="preserve"> Capacity (Code Minimum):</t>
    </r>
  </si>
  <si>
    <r>
      <rPr>
        <i/>
        <sz val="10"/>
        <rFont val="Trebuchet MS"/>
        <family val="2"/>
      </rPr>
      <t>Pump Tank 1</t>
    </r>
    <r>
      <rPr>
        <sz val="10"/>
        <rFont val="Trebuchet MS"/>
        <family val="2"/>
      </rPr>
      <t xml:space="preserve"> Capacity (Designer Rec):</t>
    </r>
  </si>
  <si>
    <r>
      <rPr>
        <i/>
        <sz val="10"/>
        <rFont val="Trebuchet MS"/>
        <family val="2"/>
      </rPr>
      <t>Pump Tank 2</t>
    </r>
    <r>
      <rPr>
        <sz val="10"/>
        <rFont val="Trebuchet MS"/>
        <family val="2"/>
      </rPr>
      <t xml:space="preserve"> Capacity (Code Minimum):</t>
    </r>
  </si>
  <si>
    <r>
      <rPr>
        <i/>
        <sz val="10"/>
        <rFont val="Trebuchet MS"/>
        <family val="2"/>
      </rPr>
      <t>Pump Tank 2</t>
    </r>
    <r>
      <rPr>
        <sz val="10"/>
        <rFont val="Trebuchet MS"/>
        <family val="2"/>
      </rPr>
      <t xml:space="preserve"> Capacity (Designer Rec):</t>
    </r>
  </si>
  <si>
    <t>Minimum Code Required Capacity:</t>
  </si>
  <si>
    <t>Designer Recommended Capacity:</t>
  </si>
  <si>
    <t>Tanks</t>
  </si>
  <si>
    <t>Supply Pipe Dia.</t>
  </si>
  <si>
    <t>Dose Volume:</t>
  </si>
  <si>
    <t>in  Dose Volume:</t>
  </si>
  <si>
    <t>organic</t>
  </si>
  <si>
    <t>Organic</t>
  </si>
  <si>
    <t>Level &amp; Equal Pressure Distribution Summary</t>
  </si>
  <si>
    <t>Non-Level and Unequal Pressure Distribution Summary</t>
  </si>
  <si>
    <t>Contour Loading Rate</t>
  </si>
  <si>
    <t>Absorption Bed Length</t>
  </si>
  <si>
    <t>Berm Width  (0-1%)</t>
  </si>
  <si>
    <t>gal/ft</t>
  </si>
  <si>
    <t>ft      Downslope Berm Width</t>
  </si>
  <si>
    <t xml:space="preserve">components   </t>
  </si>
  <si>
    <t xml:space="preserve">Minimum Designed Trench Length = Bottom Area (3.C) ÷ Trench Width (3.D) </t>
  </si>
  <si>
    <t>Enter the Registered Product Component Length:</t>
  </si>
  <si>
    <t>Number of Components = Minimum Total Length Required divided by Component Length (Round up)</t>
  </si>
  <si>
    <t>Actual Total Trench Length = Number of Components X Component Length:</t>
  </si>
  <si>
    <t>Select No. of Trenches:</t>
  </si>
  <si>
    <t>Select Trench Spacing :</t>
  </si>
  <si>
    <t>Select Depth Required to Cover Distribution Pipe:</t>
  </si>
  <si>
    <t>Code Maximum Depth*:</t>
  </si>
  <si>
    <t>Select Dispersal Media:</t>
  </si>
  <si>
    <t>Select Distribution Method:</t>
  </si>
  <si>
    <t>Select Sidewall Height:</t>
  </si>
  <si>
    <t>Design Bottom Area (2.A):</t>
  </si>
  <si>
    <t>Select Trench Width:</t>
  </si>
  <si>
    <t>Calculate Lawn Area: Trench Length (2.E) X Trench Spacing (2.G) = square feet of lawn area</t>
  </si>
  <si>
    <t>Design Bottom Area (3.A):</t>
  </si>
  <si>
    <t>Calculate Lawn Area: Trench Length X Trench Spacing  = square feet of lawn area</t>
  </si>
  <si>
    <r>
      <t>Soil Loading Rate</t>
    </r>
    <r>
      <rPr>
        <sz val="9"/>
        <rFont val="Trebuchet MS"/>
        <family val="2"/>
      </rPr>
      <t>:</t>
    </r>
  </si>
  <si>
    <r>
      <t xml:space="preserve">Required Bottom Area: Design Flow (1.A) </t>
    </r>
    <r>
      <rPr>
        <sz val="10"/>
        <rFont val="AmerType Md BT"/>
        <family val="1"/>
      </rPr>
      <t>÷</t>
    </r>
    <r>
      <rPr>
        <sz val="10"/>
        <rFont val="Trebuchet MS"/>
        <family val="2"/>
      </rPr>
      <t xml:space="preserve"> Loading Rate (1.C) = Initial Required Bottom Area</t>
    </r>
  </si>
  <si>
    <r>
      <t>ft</t>
    </r>
    <r>
      <rPr>
        <vertAlign val="superscript"/>
        <sz val="10"/>
        <rFont val="Trebuchet MS"/>
        <family val="2"/>
      </rPr>
      <t>2</t>
    </r>
    <r>
      <rPr>
        <sz val="10"/>
        <rFont val="Trebuchet MS"/>
        <family val="2"/>
      </rPr>
      <t xml:space="preserve">   </t>
    </r>
    <r>
      <rPr>
        <sz val="10"/>
        <rFont val="Arial"/>
        <family val="2"/>
      </rPr>
      <t>÷</t>
    </r>
  </si>
  <si>
    <t>Actual Bed Length = Number of Components X Component Length:</t>
  </si>
  <si>
    <t>Select Dispersal Type:</t>
  </si>
  <si>
    <t>Select size Multiplier:</t>
  </si>
  <si>
    <t xml:space="preserve">Req'd Bottom Area = Bottom Area (1.D) X Size Multiplier = </t>
  </si>
  <si>
    <t>Select Bed Width:</t>
  </si>
  <si>
    <t>Calculate Bed Length: Designed Bottom Area  ÷ Bed Width  = Bed Length</t>
  </si>
  <si>
    <t>Calculate Volume in cubic yards: Media volume in cubic feet  ÷ 27 = cubic yards</t>
  </si>
  <si>
    <t>Number of Components per Row = Bed Length divided by Component Length (Round up)</t>
  </si>
  <si>
    <t>Number of Rows = Bed Width divided by Component Width (Round up)</t>
  </si>
  <si>
    <t>Total Number of Components = Number of Components per Row X Number of Rows</t>
  </si>
  <si>
    <r>
      <t xml:space="preserve">Design Flow </t>
    </r>
    <r>
      <rPr>
        <sz val="9"/>
        <rFont val="Trebuchet MS"/>
        <family val="2"/>
      </rPr>
      <t>(Design Sum.1A)</t>
    </r>
    <r>
      <rPr>
        <sz val="8"/>
        <rFont val="Trebuchet MS"/>
        <family val="2"/>
      </rPr>
      <t>:</t>
    </r>
  </si>
  <si>
    <r>
      <t>ft</t>
    </r>
    <r>
      <rPr>
        <vertAlign val="superscript"/>
        <sz val="10"/>
        <rFont val="Trebuchet MS"/>
        <family val="2"/>
      </rPr>
      <t>2</t>
    </r>
    <r>
      <rPr>
        <sz val="10"/>
        <rFont val="Trebuchet MS"/>
        <family val="2"/>
      </rPr>
      <t xml:space="preserve"> </t>
    </r>
    <r>
      <rPr>
        <sz val="10"/>
        <rFont val="Arial"/>
        <family val="2"/>
      </rPr>
      <t>÷</t>
    </r>
  </si>
  <si>
    <r>
      <t>Media Volume: (Media Depth  + depth to cover pipe) X Designed Bottom Area = ft</t>
    </r>
    <r>
      <rPr>
        <vertAlign val="superscript"/>
        <sz val="10"/>
        <rFont val="Trebuchet MS"/>
        <family val="2"/>
      </rPr>
      <t>3</t>
    </r>
  </si>
  <si>
    <t>TRENCH CONFIGURATION: REGISTERED PRODUCTS - CHAMBERS AND EZFLOW</t>
  </si>
  <si>
    <t>MATERIAL CALCULATION: ROCK</t>
  </si>
  <si>
    <t>MATERIAL CALCULATION: REGISTERED PRODUCTS - CHAMBERS AND EZFLOW</t>
  </si>
  <si>
    <t>Mound Absorption Ratio:</t>
  </si>
  <si>
    <t>Enter Dispersal Media:</t>
  </si>
  <si>
    <t>Calculate Absorption Width: Bed Width (2.B) X Mound Absorption Ratio (1.F) = Absorption Width</t>
  </si>
  <si>
    <t>For slopes from 0 to 1%, the Absorption Width is measured from the bed equally in both directions.</t>
  </si>
  <si>
    <r>
      <t>Calculate Dispersal Bed Area: Design Flow (1.A) ÷ Design Media Loading Rate (1.E) = ft</t>
    </r>
    <r>
      <rPr>
        <vertAlign val="superscript"/>
        <sz val="10"/>
        <rFont val="Trebuchet MS"/>
        <family val="2"/>
      </rPr>
      <t>2</t>
    </r>
  </si>
  <si>
    <t>Can not exceed Table 1</t>
  </si>
  <si>
    <t>Calculate Minimum Dispersal Bed Length: Dispersal Bed Area (2.A) ÷ Bed Width (2.B) = Bed Length</t>
  </si>
  <si>
    <t>Actual Bed Length = Number of Components/row X Component Length:</t>
  </si>
  <si>
    <t>Calculate Clean Sand Lift: 3 feet minus Depth to Limiting Condition = Clean Sand Lift (1 ft minimum)</t>
  </si>
  <si>
    <t>Upslope Mound Height = Clean Sand Lift  + Depth of Media + Depth of Cover (1 ft)</t>
  </si>
  <si>
    <t xml:space="preserve">OSTP Mound Design Worksheet &lt;1% Slope                                                          </t>
  </si>
  <si>
    <r>
      <t xml:space="preserve">Absorption Width Beyond the Bed: Absorption Width (3.A) - Bed Width (2.B) </t>
    </r>
    <r>
      <rPr>
        <sz val="10"/>
        <rFont val="Arial"/>
        <family val="2"/>
      </rPr>
      <t>÷</t>
    </r>
    <r>
      <rPr>
        <sz val="10"/>
        <rFont val="Trebuchet MS"/>
        <family val="2"/>
      </rPr>
      <t xml:space="preserve"> 2 = Width beyond Bed</t>
    </r>
  </si>
  <si>
    <t>DISTRIBUTION MEDIA: ROCK</t>
  </si>
  <si>
    <t xml:space="preserve">Total Landscape Width = Berm Width  + Dispersal Bed Width + Berm Width </t>
  </si>
  <si>
    <t xml:space="preserve">Final Berm Width = Additional Berm Width  + Berm Width </t>
  </si>
  <si>
    <t xml:space="preserve">Total Mound Width = Final Berm Width  + Dispersal Bed Width  + Final Berm Width </t>
  </si>
  <si>
    <t>Total Mound Length = Final Berm Width  + Dispersal Bed Length  + Final Berm Width</t>
  </si>
  <si>
    <t>Setbacks from the Bed: Absorption Width  - Dispersal Bed Width divided by 2</t>
  </si>
  <si>
    <t xml:space="preserve">ABSORPTION AREA SIZING </t>
  </si>
  <si>
    <t>Additional Berm Width necessary for absorption -  Absorption Width - Total Landscape Width</t>
  </si>
  <si>
    <t>ft)  ÷</t>
  </si>
  <si>
    <t>GPD    ÷</t>
  </si>
  <si>
    <t>For slopes &gt;1%, the Absorption Width is measured downhill from the upslope edge of the Bed.</t>
  </si>
  <si>
    <t>Design Downslope Berm = greater of 4H and 4I:</t>
  </si>
  <si>
    <t>Select Endslope Berm Multiplier:</t>
  </si>
  <si>
    <t>DISTRIBUTION MEDIA: REGISTERED TREATMENT PRODUCTS: CHAMBERS AND EZFLOW</t>
  </si>
  <si>
    <t xml:space="preserve">Calculate Minimum Clean Sand Lift: 3 feet minus Depth to Limiting Condition  = Clean Sand Lift </t>
  </si>
  <si>
    <t>Calculate Upslope Height: Clean Sand Lift  + media depth + cover (1 ft.) = Upslope Height</t>
  </si>
  <si>
    <t>Select Upslope Berm Multiplier (based on land slope):</t>
  </si>
  <si>
    <t xml:space="preserve"> Calculate Upslope Berm Width: Multiplier  X Upslope Mound Height  = Upslope Berm Width</t>
  </si>
  <si>
    <t>Select Downslope Berm Multiplier (based on land slope):</t>
  </si>
  <si>
    <t>Calculate Downslope Mound Height: Upslope Height + Drop in Elevation  = Downslope Height</t>
  </si>
  <si>
    <t>Calculate Downslope Berm Width: Multiplier  X Downslope Height  = Downslope Berm Width</t>
  </si>
  <si>
    <t>Calculate Minimum Berm to Cover Absorption Area: Downslope Absorption Width + 4 feet</t>
  </si>
  <si>
    <t>Calculate Mound Width: Upslope Berm Width + Bed Width + Downslope Berm Width</t>
  </si>
  <si>
    <t xml:space="preserve">Calculate Mound Length: Endslope Berm Width  + Bed Length  + Endslope Berm Width </t>
  </si>
  <si>
    <t>Calculate Minimum Dispersal Bed Length: Dispersal Bed Area  ÷ Bed Width  = Bed Length</t>
  </si>
  <si>
    <t>Calculate Absorption Width: Bed Width  X Mound Absorption Ratio  = Absorption Width</t>
  </si>
  <si>
    <t xml:space="preserve">Calculate Downslope Absorption Width: Absorption Width  - Bed Width </t>
  </si>
  <si>
    <t>Calculate Drop in Elevation Under Bed: Bed Width X Land Slope ÷ 100 = Drop (ft)</t>
  </si>
  <si>
    <t>Calculate Endslope Berm  X Downslope Mound Height  = Endslope Berm Width</t>
  </si>
  <si>
    <t>OSTP Non-Level &amp; Unequal Pressure Distribution Design Worksheet</t>
  </si>
  <si>
    <t xml:space="preserve">Calculate Minimum length per trench based on Contour Loading Rate: Design Flow ÷ CLR = </t>
  </si>
  <si>
    <t>Adjust width so this is an whole number.</t>
  </si>
  <si>
    <t xml:space="preserve">Number of Rows = Bed Width divided by Component Width </t>
  </si>
  <si>
    <r>
      <t>ft</t>
    </r>
    <r>
      <rPr>
        <vertAlign val="superscript"/>
        <sz val="10"/>
        <rFont val="Trebuchet MS"/>
        <family val="2"/>
      </rPr>
      <t>2</t>
    </r>
    <r>
      <rPr>
        <sz val="10"/>
        <rFont val="Trebuchet MS"/>
        <family val="2"/>
      </rPr>
      <t xml:space="preserve">  ÷</t>
    </r>
  </si>
  <si>
    <t>Number of Rows = Bed Width divided by Component Width</t>
  </si>
  <si>
    <r>
      <t>ft</t>
    </r>
    <r>
      <rPr>
        <vertAlign val="superscript"/>
        <sz val="10"/>
        <rFont val="Trebuchet MS"/>
        <family val="2"/>
      </rPr>
      <t>2</t>
    </r>
    <r>
      <rPr>
        <sz val="10"/>
        <rFont val="Trebuchet MS"/>
        <family val="2"/>
      </rPr>
      <t xml:space="preserve">  X</t>
    </r>
  </si>
  <si>
    <t xml:space="preserve">Calculate Contour Loading Rate: Bed Width (2.B) X Design Media Loading Rate (1.E) </t>
  </si>
  <si>
    <t xml:space="preserve">Calculate Contour Loading Rate: Bed Width  X Design Media Loading Rate </t>
  </si>
  <si>
    <t>(0.33 ft for pressure, 0.5 ft for gravity)</t>
  </si>
  <si>
    <r>
      <t>Calculate Dispersal Bed Area: Design Flow ÷ Design Media Loading Rate = ft</t>
    </r>
    <r>
      <rPr>
        <vertAlign val="superscript"/>
        <sz val="10"/>
        <rFont val="Trebuchet MS"/>
        <family val="2"/>
      </rPr>
      <t>2</t>
    </r>
  </si>
  <si>
    <t>Lateral 2 GPM = (Length of Lateral - 2) X Gallons Per Minute Per Foot (Line 8)</t>
  </si>
  <si>
    <t>Lateral 3 GPM = (Length of Lateral - 2) X Gallons Per Minute Per Foot (Line 8)</t>
  </si>
  <si>
    <t>Lateral 4 GPM = (Length of Lateral - 2) X Gallons Per Minute Per Foot (Line 8)</t>
  </si>
  <si>
    <t>Lateral 5 GPM = (Length of Lateral - 2) X Gallons Per Minute Per Foot (Line 8)</t>
  </si>
  <si>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</si>
  <si>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</si>
  <si>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</si>
  <si>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</si>
  <si>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</si>
  <si>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</si>
  <si>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Square Foot per Perforation</t>
    </r>
    <r>
      <rPr>
        <sz val="10"/>
        <rFont val="Trebuchet MS"/>
        <family val="2"/>
      </rPr>
      <t xml:space="preserve"> = </t>
    </r>
    <r>
      <rPr>
        <i/>
        <sz val="10"/>
        <rFont val="Trebuchet MS"/>
        <family val="2"/>
      </rPr>
      <t>Bed Area</t>
    </r>
    <r>
      <rPr>
        <sz val="10"/>
        <rFont val="Trebuchet MS"/>
        <family val="2"/>
      </rPr>
      <t xml:space="preserve"> divided by the </t>
    </r>
    <r>
      <rPr>
        <i/>
        <sz val="10"/>
        <rFont val="Trebuchet MS"/>
        <family val="2"/>
      </rPr>
      <t>Total Number of Perforations</t>
    </r>
    <r>
      <rPr>
        <sz val="10"/>
        <rFont val="Trebuchet MS"/>
        <family val="2"/>
      </rPr>
      <t>.</t>
    </r>
  </si>
  <si>
    <r>
      <t xml:space="preserve">Determine required </t>
    </r>
    <r>
      <rPr>
        <i/>
        <sz val="10"/>
        <rFont val="Trebuchet MS"/>
        <family val="2"/>
      </rPr>
      <t>Flow Rate</t>
    </r>
    <r>
      <rPr>
        <sz val="10"/>
        <rFont val="Trebuchet MS"/>
        <family val="2"/>
      </rPr>
      <t xml:space="preserve"> by multiplying the </t>
    </r>
    <r>
      <rPr>
        <i/>
        <sz val="10"/>
        <rFont val="Trebuchet MS"/>
        <family val="2"/>
      </rPr>
      <t>Total Number of Perfs.</t>
    </r>
    <r>
      <rPr>
        <sz val="10"/>
        <rFont val="Trebuchet MS"/>
        <family val="2"/>
      </rPr>
      <t xml:space="preserve">  by the </t>
    </r>
    <r>
      <rPr>
        <i/>
        <sz val="10"/>
        <rFont val="Trebuchet MS"/>
        <family val="2"/>
      </rPr>
      <t>Perforation Discharge.</t>
    </r>
  </si>
  <si>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</si>
  <si>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</si>
  <si>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</si>
  <si>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</si>
  <si>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</si>
  <si>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</si>
  <si>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r>
      <t xml:space="preserve"> </t>
    </r>
    <r>
      <rPr>
        <i/>
        <sz val="10"/>
        <rFont val="Trebuchet MS"/>
        <family val="2"/>
      </rPr>
      <t>Minimum Delivered Volume</t>
    </r>
    <r>
      <rPr>
        <sz val="10"/>
        <rFont val="Trebuchet MS"/>
        <family val="2"/>
      </rPr>
      <t xml:space="preserve"> =  4 X Volume of Distribution Piping: </t>
    </r>
  </si>
  <si>
    <t xml:space="preserve">Total Pipe Length (2.E) </t>
  </si>
  <si>
    <r>
      <t>Total Pipe Length</t>
    </r>
    <r>
      <rPr>
        <sz val="10"/>
        <rFont val="Trebuchet MS"/>
        <family val="2"/>
      </rPr>
      <t xml:space="preserve"> = Supply Pipe Length (2.B.2) + Equivalent Pipe Length (2.D)</t>
    </r>
  </si>
  <si>
    <t>indicate distribution or treatment method:</t>
  </si>
  <si>
    <t>5 feet of separation</t>
  </si>
  <si>
    <t>Serial distribution in 15% sections</t>
  </si>
  <si>
    <t>SandySoilOptions</t>
  </si>
  <si>
    <t>Pressure distribution</t>
  </si>
  <si>
    <t xml:space="preserve">If distribution media is installed in contact with sandy or loamy sand or with a percolation rate of 0.1 to 5 mpi </t>
  </si>
  <si>
    <t>Code Maximum Depth:</t>
  </si>
  <si>
    <t>Minimum Delivered Volume</t>
  </si>
  <si>
    <t>Maximum Delivered Volume</t>
  </si>
  <si>
    <t>Min. Delivered Volume</t>
  </si>
  <si>
    <t>Min. required pump tank capacity:</t>
  </si>
  <si>
    <t>C.Recommended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</si>
  <si>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</si>
  <si>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</si>
  <si>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</si>
  <si>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</si>
  <si>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</si>
  <si>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</si>
  <si>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</si>
  <si>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</si>
  <si>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*Note:  This value must be adjusted after installation based on pump calibration.</t>
  </si>
  <si>
    <t>Does not apply to at-grades</t>
  </si>
  <si>
    <t xml:space="preserve">Benchmark Location: </t>
  </si>
  <si>
    <t>Loc. of Restricive Elevation:</t>
  </si>
  <si>
    <t>Measured Land Slope %:</t>
  </si>
  <si>
    <t>Soil Hyd. Loading Rate:</t>
  </si>
  <si>
    <t xml:space="preserve">Calculate Minimum system length based on Contour Loading Rate: Design Flow  ÷ Contour Loading Rate  = </t>
  </si>
  <si>
    <t>Gallons (maximum dose)</t>
  </si>
  <si>
    <t>Gallons (minimum dose)</t>
  </si>
  <si>
    <t>Pump 1</t>
  </si>
  <si>
    <t>Pump 2</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</si>
  <si>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</si>
  <si>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</si>
  <si>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</si>
  <si>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</si>
  <si>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</si>
  <si>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</si>
  <si>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</si>
  <si>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</si>
  <si>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</si>
  <si>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</si>
  <si>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</si>
  <si>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</si>
  <si>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</si>
  <si>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</si>
  <si>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Total Designed Trench Length: Bottom Area  ÷ Trench Width  = Total Required Trench Length</t>
  </si>
  <si>
    <t>Flow Rate from Line 12.A or 12.B above.</t>
  </si>
  <si>
    <t>Absorption Bed Area</t>
  </si>
  <si>
    <t>Minimum Number of Laterals in system/zone = Rounded up number of [(Media Bed Width - 4) ÷ 3] + 1.</t>
  </si>
  <si>
    <t>Calculate the organic loading</t>
  </si>
  <si>
    <r>
      <t>Calculate</t>
    </r>
    <r>
      <rPr>
        <i/>
        <sz val="10"/>
        <rFont val="Trebuchet MS"/>
        <family val="2"/>
      </rPr>
      <t xml:space="preserve"> Soil Treatment System Organic Loading:</t>
    </r>
    <r>
      <rPr>
        <sz val="10"/>
        <rFont val="Trebuchet MS"/>
        <family val="2"/>
      </rPr>
      <t xml:space="preserve"> </t>
    </r>
    <r>
      <rPr>
        <i/>
        <sz val="10"/>
        <rFont val="Trebuchet MS"/>
        <family val="2"/>
      </rPr>
      <t xml:space="preserve">BOD concentration after pretreatment ÷ Bottom Area  </t>
    </r>
    <r>
      <rPr>
        <sz val="10"/>
        <rFont val="Trebuchet MS"/>
        <family val="2"/>
      </rPr>
      <t>= lbs/day/ft</t>
    </r>
    <r>
      <rPr>
        <vertAlign val="superscript"/>
        <sz val="10"/>
        <rFont val="Trebuchet MS"/>
        <family val="2"/>
      </rPr>
      <t>2</t>
    </r>
  </si>
  <si>
    <t>mg/L X 8.35 ÷ 1,000,000  ÷</t>
  </si>
  <si>
    <t>Enter the Component:  Length:</t>
  </si>
  <si>
    <t>ft      Depth:</t>
  </si>
  <si>
    <t>ft     Width:</t>
  </si>
  <si>
    <t>Friction Loss in Plastic Pipe per 100ft from Table I:</t>
  </si>
  <si>
    <t>* Only includes soil horizons with &lt;50% rock fragments, with very friable and friable consistence, or loose noncemented sands. Soil horizons with &gt;50% rock fragments must not come in contact with the soil dispersal media.</t>
  </si>
  <si>
    <t>0</t>
  </si>
  <si>
    <t>Component Length:</t>
  </si>
  <si>
    <t>Component Width:</t>
  </si>
  <si>
    <t xml:space="preserve">D.  </t>
  </si>
  <si>
    <t xml:space="preserve">Component depth (louver or depth of sidewall loading) </t>
  </si>
  <si>
    <t>Depth of sidewall</t>
  </si>
  <si>
    <t>From Design (Line 12 of  Pressure, Line 10 of Non-Level or Line 6 of Pump*):</t>
  </si>
  <si>
    <t>[(</t>
  </si>
  <si>
    <t xml:space="preserve">- 4 ) ÷ 3] + 1 = </t>
  </si>
  <si>
    <t>Commercial (select method and provide data):</t>
  </si>
  <si>
    <t>Effluent Screen &amp; Alarm:</t>
  </si>
  <si>
    <t>Effluent Screen Manufacturer/Model:</t>
  </si>
  <si>
    <t>Treatment Level:</t>
  </si>
  <si>
    <t>Treatment Level</t>
  </si>
  <si>
    <t>C</t>
  </si>
  <si>
    <t>B</t>
  </si>
  <si>
    <t>B2</t>
  </si>
  <si>
    <t>A</t>
  </si>
  <si>
    <t>A2</t>
  </si>
  <si>
    <t>Type of Wastewater:</t>
  </si>
  <si>
    <t>Type of Wastewater</t>
  </si>
  <si>
    <t>Residential</t>
  </si>
  <si>
    <t>High-Strength</t>
  </si>
  <si>
    <t>DESIGN FLOW, STRENGTH OF WASTE, AND TANKS</t>
  </si>
  <si>
    <t>Number of Bedrooms (Residential):</t>
  </si>
  <si>
    <t>Soil Treatment Area Type:</t>
  </si>
  <si>
    <t>Soil Treatment Area Type</t>
  </si>
  <si>
    <t>Trench</t>
  </si>
  <si>
    <t>Bed</t>
  </si>
  <si>
    <t>Drip</t>
  </si>
  <si>
    <t>SYSTEM  AND DISTRIBUTION TYPE</t>
  </si>
  <si>
    <t>Distribution Type:</t>
  </si>
  <si>
    <t>Distribution Type</t>
  </si>
  <si>
    <t>Pressure Distribution-Level</t>
  </si>
  <si>
    <t>Pressure Distribution-Unlevel</t>
  </si>
  <si>
    <t>Gravity or Pressure</t>
  </si>
  <si>
    <t>Gravity</t>
  </si>
  <si>
    <t>Pressure</t>
  </si>
  <si>
    <t>OSTP Pump Tank Design Worksheet (Demand Dose)</t>
  </si>
  <si>
    <t>OSTP Pump Tank Design Worksheet (Time Dose)</t>
  </si>
  <si>
    <t>TIMER FLOAT SETTINGS</t>
  </si>
  <si>
    <t>DEMAND DOSE FLOAT SETTINGS</t>
  </si>
  <si>
    <t>Nutrients:</t>
  </si>
  <si>
    <t>Nitrogen</t>
  </si>
  <si>
    <t>Phosphorus</t>
  </si>
  <si>
    <t>Nitrogen &amp; Phosphorus</t>
  </si>
  <si>
    <t>Nutrients</t>
  </si>
  <si>
    <t>A-2</t>
  </si>
  <si>
    <t>B-2</t>
  </si>
  <si>
    <t>MPCA Type:</t>
  </si>
  <si>
    <t>Type I</t>
  </si>
  <si>
    <t>Type II</t>
  </si>
  <si>
    <t>Type III</t>
  </si>
  <si>
    <t>Type IV</t>
  </si>
  <si>
    <t>Type V</t>
  </si>
  <si>
    <t>MPCA Type</t>
  </si>
  <si>
    <t xml:space="preserve">Benchmark Reference Elevation: </t>
  </si>
  <si>
    <t>Elevation of Limiting Layer:</t>
  </si>
  <si>
    <t xml:space="preserve"> Rock Media Depth Below Distribution Pipe</t>
  </si>
  <si>
    <t>estimated volume of rock on mound materials page</t>
  </si>
  <si>
    <r>
      <rPr>
        <sz val="8"/>
        <rFont val="Trebuchet MS"/>
        <family val="2"/>
      </rPr>
      <t>in</t>
    </r>
    <r>
      <rPr>
        <sz val="10"/>
        <rFont val="Trebuchet MS"/>
        <family val="2"/>
      </rPr>
      <t xml:space="preserve">   +</t>
    </r>
  </si>
  <si>
    <r>
      <rPr>
        <sz val="8"/>
        <rFont val="Arial"/>
        <family val="2"/>
      </rPr>
      <t>in</t>
    </r>
    <r>
      <rPr>
        <sz val="10"/>
        <rFont val="Arial"/>
        <family val="2"/>
      </rPr>
      <t>) ÷ 12</t>
    </r>
    <r>
      <rPr>
        <sz val="10"/>
        <rFont val="Trebuchet MS"/>
        <family val="2"/>
      </rPr>
      <t xml:space="preserve"> X</t>
    </r>
  </si>
  <si>
    <t>Max. Delivered Dose Volume = Design Flow X  0.25 =</t>
  </si>
  <si>
    <t xml:space="preserve">fix </t>
  </si>
  <si>
    <t>Dia of Pipe +1 in</t>
  </si>
  <si>
    <t>1 foot required cover</t>
  </si>
  <si>
    <t>Rock Below Pipe      +</t>
  </si>
  <si>
    <t>System Finished Height</t>
  </si>
  <si>
    <r>
      <t xml:space="preserve">Length per trench = Actual Trench Length  ÷ Number of Trenches.    </t>
    </r>
    <r>
      <rPr>
        <i/>
        <sz val="10"/>
        <rFont val="Trebuchet MS"/>
        <family val="2"/>
      </rPr>
      <t xml:space="preserve">Recommended </t>
    </r>
    <r>
      <rPr>
        <sz val="10"/>
        <rFont val="Trebuchet MS"/>
        <family val="2"/>
      </rPr>
      <t xml:space="preserve"> to be equal or exceed 3.J.</t>
    </r>
  </si>
  <si>
    <t>trenches   =</t>
  </si>
  <si>
    <t>÷ 27</t>
  </si>
  <si>
    <r>
      <rPr>
        <sz val="10"/>
        <rFont val="Trebuchet MS"/>
        <family val="2"/>
      </rPr>
      <t>Calculate Rock Volume:</t>
    </r>
    <r>
      <rPr>
        <sz val="8"/>
        <rFont val="Trebuchet MS"/>
        <family val="2"/>
      </rPr>
      <t xml:space="preserve"> (Sidewall Height (2.B) + Depth to Cover Pipe (2.J)) X Bottom Area (2.C) = cubic feet ÷ 27 = cubic yards</t>
    </r>
  </si>
  <si>
    <t>Min Trench Length</t>
  </si>
  <si>
    <t xml:space="preserve"> ÷  2  =</t>
  </si>
  <si>
    <r>
      <t>ft</t>
    </r>
    <r>
      <rPr>
        <vertAlign val="superscript"/>
        <sz val="10"/>
        <rFont val="Trebuchet MS"/>
        <family val="2"/>
      </rPr>
      <t xml:space="preserve">2  </t>
    </r>
    <r>
      <rPr>
        <sz val="10"/>
        <rFont val="Trebuchet MS"/>
        <family val="2"/>
      </rPr>
      <t>X Total Rock Depth (2.A)</t>
    </r>
  </si>
  <si>
    <r>
      <t>Rock Volume in Cubic Feet</t>
    </r>
    <r>
      <rPr>
        <sz val="10"/>
        <rFont val="Trebuchet MS"/>
        <family val="2"/>
      </rPr>
      <t xml:space="preserve"> = </t>
    </r>
    <r>
      <rPr>
        <i/>
        <sz val="10"/>
        <rFont val="Trebuchet MS"/>
        <family val="2"/>
      </rPr>
      <t>Rock Area</t>
    </r>
    <r>
      <rPr>
        <sz val="10"/>
        <rFont val="Trebuchet MS"/>
        <family val="2"/>
      </rPr>
      <t xml:space="preserve"> (4.A) by </t>
    </r>
    <r>
      <rPr>
        <i/>
        <sz val="10"/>
        <rFont val="Trebuchet MS"/>
        <family val="2"/>
      </rPr>
      <t xml:space="preserve">Depth of Media </t>
    </r>
    <r>
      <rPr>
        <i/>
        <sz val="8"/>
        <rFont val="Trebuchet MS"/>
        <family val="2"/>
      </rPr>
      <t>(Rock)</t>
    </r>
    <r>
      <rPr>
        <sz val="8"/>
        <rFont val="Trebuchet MS"/>
        <family val="2"/>
      </rPr>
      <t xml:space="preserve"> (2.A below + above pipe)</t>
    </r>
    <r>
      <rPr>
        <sz val="10"/>
        <rFont val="Trebuchet MS"/>
        <family val="2"/>
      </rPr>
      <t xml:space="preserve"> and divide by 2.</t>
    </r>
  </si>
  <si>
    <t>Version</t>
  </si>
  <si>
    <t>Minimum Code Required Septic Tank Capacity (Dwellings):</t>
  </si>
  <si>
    <t>Waste received by:</t>
  </si>
  <si>
    <t>Minimum Septic Tank Capacity for Other Establishments = Design Flow X 3.0 if received by gravity or 4.0 if received by pressure</t>
  </si>
  <si>
    <t>Minimum Capacity: Residential =400 gal/bedroom, Other Establishment = Design Flow x 5.0,  Minimum size 1000 gallons</t>
  </si>
  <si>
    <t xml:space="preserve">In each worksheet, you will notice each cell is colored either blue (or grey depending on your system settings) or yellow. </t>
  </si>
  <si>
    <t>Yellow cells are user input cells, that is, these are the cells where you as the designer must manually enter the value that the worksheet is requesting.  If you begin on each sheet on the first yellow cell, you can then Tab through the rest of the form and you will tab only through cells that require you to enter information.</t>
  </si>
  <si>
    <t xml:space="preserve">Instructions for 2016 OSTP          SSTS Basic Design Forms </t>
  </si>
  <si>
    <t>The 2016 Design forms included in this file are intended to meet the new 2011 Chapter 7080 Rules. Please check back to the website frequently and download the most current version.  There are 12 worksheets and additional supporting information in the 2011 SSTS Basic Design Form Workbook, they are:</t>
  </si>
  <si>
    <t>12. Pump Tank Demand (2)</t>
  </si>
  <si>
    <t>13. Pump Tank Time Dose (2)</t>
  </si>
  <si>
    <t>Developed by the University of Minnesota:  Sara Heger, Dave Gustafson and Dan Wheeler; Tim Haeg, Watab Inc.; Chris LeClair, Washington County; Peter Otterness, Nicollet County, and the Minnesota Pollution Control Agency.  Thanks to the many that provided comments and feedback during the development process.</t>
  </si>
  <si>
    <t>Designers Number of Trenches</t>
  </si>
  <si>
    <t>Minimium base on CLR</t>
  </si>
  <si>
    <t>Soil with &gt;35% Rock Fragments Present?</t>
  </si>
  <si>
    <t>For systems using other distribution media - see product registration for material required</t>
  </si>
  <si>
    <r>
      <t xml:space="preserve">Calculate Rock </t>
    </r>
    <r>
      <rPr>
        <i/>
        <sz val="10"/>
        <rFont val="Trebuchet MS"/>
        <family val="2"/>
      </rPr>
      <t>Volume</t>
    </r>
    <r>
      <rPr>
        <sz val="10"/>
        <rFont val="Trebuchet MS"/>
        <family val="2"/>
      </rPr>
      <t>: (Rock Below Pipe + Rock to cover pipe (</t>
    </r>
    <r>
      <rPr>
        <i/>
        <sz val="8"/>
        <rFont val="Trebuchet MS"/>
        <family val="2"/>
      </rPr>
      <t>pipe dia + 1 inch)</t>
    </r>
    <r>
      <rPr>
        <sz val="10"/>
        <rFont val="Trebuchet MS"/>
        <family val="2"/>
      </rPr>
      <t xml:space="preserve">) X </t>
    </r>
    <r>
      <rPr>
        <i/>
        <sz val="10"/>
        <rFont val="Trebuchet MS"/>
        <family val="2"/>
      </rPr>
      <t>Bed Length</t>
    </r>
    <r>
      <rPr>
        <sz val="10"/>
        <rFont val="Trebuchet MS"/>
        <family val="2"/>
      </rPr>
      <t xml:space="preserve"> (2.D) X </t>
    </r>
    <r>
      <rPr>
        <i/>
        <sz val="10"/>
        <rFont val="Trebuchet MS"/>
        <family val="2"/>
      </rPr>
      <t>Bed Width</t>
    </r>
    <r>
      <rPr>
        <sz val="10"/>
        <rFont val="Trebuchet MS"/>
        <family val="2"/>
      </rPr>
      <t xml:space="preserve"> (2.B) = </t>
    </r>
    <r>
      <rPr>
        <i/>
        <sz val="10"/>
        <rFont val="Trebuchet MS"/>
        <family val="2"/>
      </rPr>
      <t>Volume</t>
    </r>
    <r>
      <rPr>
        <sz val="10"/>
        <rFont val="Trebuchet MS"/>
        <family val="2"/>
      </rPr>
      <t xml:space="preserve"> (ft</t>
    </r>
    <r>
      <rPr>
        <vertAlign val="superscript"/>
        <sz val="10"/>
        <rFont val="Trebuchet MS"/>
        <family val="2"/>
      </rPr>
      <t>3</t>
    </r>
    <r>
      <rPr>
        <sz val="10"/>
        <rFont val="Trebuchet MS"/>
        <family val="2"/>
      </rPr>
      <t>)</t>
    </r>
  </si>
  <si>
    <t>v 04.20.2016</t>
  </si>
  <si>
    <t>If yes describe below:  % rock and layer thickness, amount of soil credit and any additonal information for adressing the rock fragments in this design.</t>
  </si>
  <si>
    <t>OSTP Pump Tank Design Worksheet                   (Time Dose)</t>
  </si>
  <si>
    <t>OSTP Pump Tank Design Worksheet                                                (Demand Dose)</t>
  </si>
  <si>
    <t>Designed Number of Trenches</t>
  </si>
  <si>
    <t>Number of Trenches:</t>
  </si>
  <si>
    <t>ft    ÷</t>
  </si>
  <si>
    <t xml:space="preserve">         =</t>
  </si>
  <si>
    <r>
      <t xml:space="preserve">Determine </t>
    </r>
    <r>
      <rPr>
        <i/>
        <sz val="10"/>
        <rFont val="Trebuchet MS"/>
        <family val="2"/>
      </rPr>
      <t>System Height</t>
    </r>
    <r>
      <rPr>
        <sz val="10"/>
        <rFont val="Trebuchet MS"/>
        <family val="2"/>
      </rPr>
      <t xml:space="preserve"> = depth below pipe + (pipe + media above pipe 0.25) +  12" cover)</t>
    </r>
  </si>
  <si>
    <t>Alarm Float - Measuring from bottom of tank (90% recommended):</t>
  </si>
  <si>
    <t>gal         ÷</t>
  </si>
  <si>
    <t>Distance to set Alarm Float = Tank Depth  X  % of Tank Depth (0.90 recommended)</t>
  </si>
  <si>
    <t>Distance to set Alarm Float = Tank Depth  X  % of Tank Depth (0.9 recommended)</t>
  </si>
  <si>
    <r>
      <t>Total Tank Volume</t>
    </r>
    <r>
      <rPr>
        <sz val="10"/>
        <rFont val="Trebuchet MS"/>
        <family val="2"/>
      </rPr>
      <t xml:space="preserve"> = </t>
    </r>
    <r>
      <rPr>
        <i/>
        <sz val="10"/>
        <rFont val="Trebuchet MS"/>
        <family val="2"/>
      </rPr>
      <t>Depth from bottom of inlet pipe</t>
    </r>
    <r>
      <rPr>
        <sz val="10"/>
        <rFont val="Trebuchet MS"/>
        <family val="2"/>
      </rPr>
      <t xml:space="preserve">  X </t>
    </r>
    <r>
      <rPr>
        <i/>
        <sz val="10"/>
        <rFont val="Trebuchet MS"/>
        <family val="2"/>
      </rPr>
      <t>Gallons/Inch</t>
    </r>
  </si>
  <si>
    <t>Calculate Gallons Per Inch.  Multiply the area by 7.5 to determine the gallons per foot the tank holds and divide by 12 to calculate the gallons per inch.</t>
  </si>
  <si>
    <t>701-252-8130</t>
  </si>
  <si>
    <t>Contact our office if you have questions or to set up an appointment.</t>
  </si>
  <si>
    <r>
      <t xml:space="preserve">4. The </t>
    </r>
    <r>
      <rPr>
        <b/>
        <sz val="10"/>
        <color rgb="FF7030A0"/>
        <rFont val="Arial"/>
        <family val="2"/>
      </rPr>
      <t xml:space="preserve">Purple Tab Mound Material </t>
    </r>
    <r>
      <rPr>
        <sz val="10"/>
        <rFont val="Arial"/>
        <family val="2"/>
      </rPr>
      <t>gives quanities of rock and clean sand needed</t>
    </r>
  </si>
  <si>
    <r>
      <t>3. If using any of the</t>
    </r>
    <r>
      <rPr>
        <b/>
        <sz val="10"/>
        <color rgb="FFFF9900"/>
        <rFont val="Arial"/>
        <family val="2"/>
      </rPr>
      <t xml:space="preserve"> Orange Tabs</t>
    </r>
    <r>
      <rPr>
        <sz val="10"/>
        <rFont val="Arial"/>
        <family val="2"/>
      </rPr>
      <t xml:space="preserve"> all yellow boxes must be filled in.</t>
    </r>
  </si>
  <si>
    <r>
      <t xml:space="preserve">2. Choose one of the </t>
    </r>
    <r>
      <rPr>
        <b/>
        <sz val="10"/>
        <color rgb="FFFF3399"/>
        <rFont val="Arial"/>
        <family val="2"/>
      </rPr>
      <t xml:space="preserve">Pink Tabs -Mound &gt;1%, Mound &lt;1% </t>
    </r>
    <r>
      <rPr>
        <sz val="10"/>
        <rFont val="Arial"/>
        <family val="2"/>
      </rPr>
      <t xml:space="preserve">or </t>
    </r>
    <r>
      <rPr>
        <b/>
        <sz val="10"/>
        <color rgb="FFFF3399"/>
        <rFont val="Arial"/>
        <family val="2"/>
      </rPr>
      <t>At-Grade</t>
    </r>
    <r>
      <rPr>
        <sz val="10"/>
        <rFont val="Arial"/>
        <family val="2"/>
      </rPr>
      <t>. Fill in at minimum green boxes, you may fill in yellow boxes, the blue boxes are locked.</t>
    </r>
  </si>
  <si>
    <r>
      <t>1. Begin on the</t>
    </r>
    <r>
      <rPr>
        <sz val="10"/>
        <color rgb="FFFF0000"/>
        <rFont val="Arial"/>
        <family val="2"/>
      </rPr>
      <t xml:space="preserve"> </t>
    </r>
    <r>
      <rPr>
        <b/>
        <sz val="10"/>
        <color rgb="FFFF0000"/>
        <rFont val="Arial"/>
        <family val="2"/>
      </rPr>
      <t>Red Tab Design Summary</t>
    </r>
    <r>
      <rPr>
        <sz val="10"/>
        <color rgb="FFFF0000"/>
        <rFont val="Arial"/>
        <family val="2"/>
      </rPr>
      <t>.</t>
    </r>
    <r>
      <rPr>
        <sz val="10"/>
        <rFont val="Arial"/>
        <family val="2"/>
      </rPr>
      <t xml:space="preserve"> Fill in at minimum green boxes, you may fill in yellow boxes, the blue boxes are locked.</t>
    </r>
  </si>
  <si>
    <t>Instructions:</t>
  </si>
  <si>
    <t>3.13.2017</t>
  </si>
  <si>
    <t xml:space="preserve">Central Valley Health District </t>
  </si>
  <si>
    <t xml:space="preserve">DISTRIBUTION MEDIA: </t>
  </si>
  <si>
    <r>
      <t xml:space="preserve">Endslope Multiplier </t>
    </r>
    <r>
      <rPr>
        <sz val="10"/>
        <rFont val="Trebuchet MS"/>
        <family val="2"/>
      </rPr>
      <t xml:space="preserve">(usually </t>
    </r>
    <r>
      <rPr>
        <b/>
        <sz val="10"/>
        <rFont val="Trebuchet MS"/>
        <family val="2"/>
      </rPr>
      <t>4.0)</t>
    </r>
  </si>
  <si>
    <r>
      <rPr>
        <b/>
        <sz val="10"/>
        <rFont val="Trebuchet MS"/>
        <family val="2"/>
      </rPr>
      <t xml:space="preserve">  </t>
    </r>
    <r>
      <rPr>
        <sz val="10"/>
        <rFont val="Trebuchet MS"/>
        <family val="2"/>
      </rPr>
      <t xml:space="preserve"> ft   X</t>
    </r>
  </si>
  <si>
    <r>
      <rPr>
        <sz val="9"/>
        <rFont val="Trebuchet MS"/>
        <family val="2"/>
      </rPr>
      <t xml:space="preserve">Design Media Loading Rate:   </t>
    </r>
    <r>
      <rPr>
        <b/>
        <sz val="10"/>
        <rFont val="Trebuchet MS"/>
        <family val="2"/>
      </rPr>
      <t>1.2</t>
    </r>
  </si>
  <si>
    <t xml:space="preserve">Enter Dispersal Bed Width:  </t>
  </si>
  <si>
    <r>
      <t>Berm Width = Upslope Mound Height (4.B) X</t>
    </r>
    <r>
      <rPr>
        <b/>
        <sz val="10"/>
        <rFont val="Trebuchet MS"/>
        <family val="2"/>
      </rPr>
      <t xml:space="preserve"> </t>
    </r>
    <r>
      <rPr>
        <sz val="10"/>
        <rFont val="Trebuchet MS"/>
        <family val="2"/>
      </rPr>
      <t>(4 is recommended, but could be 3-12)</t>
    </r>
  </si>
  <si>
    <r>
      <rPr>
        <sz val="9"/>
        <rFont val="Trebuchet MS"/>
        <family val="2"/>
      </rPr>
      <t>Design Media Loading Rate:</t>
    </r>
    <r>
      <rPr>
        <sz val="10"/>
        <rFont val="Trebuchet MS"/>
        <family val="2"/>
      </rPr>
      <t xml:space="preserve">   </t>
    </r>
    <r>
      <rPr>
        <b/>
        <sz val="10"/>
        <rFont val="Trebuchet MS"/>
        <family val="2"/>
      </rPr>
      <t>1.2</t>
    </r>
  </si>
  <si>
    <r>
      <t xml:space="preserve">(usually 3.0 or </t>
    </r>
    <r>
      <rPr>
        <b/>
        <i/>
        <sz val="10"/>
        <color rgb="FFFF6600"/>
        <rFont val="Trebuchet MS"/>
        <family val="2"/>
      </rPr>
      <t>4.0)</t>
    </r>
  </si>
  <si>
    <t xml:space="preserve">Enter Dispersal Bed Width: </t>
  </si>
  <si>
    <t>Maximum: Rock bed 10 ft chambers 9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</si>
</sst>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0"/>
    <numFmt numFmtId="165" formatCode="0.0"/>
    <numFmt numFmtId="166" formatCode="[$-409]mmmm\ d\,\ yyyy;@"/>
    <numFmt numFmtId="167" formatCode="0;\-0;;@"/>
    <numFmt numFmtId="168" formatCode="0.0;\-0;;@"/>
    <numFmt numFmtId="169" formatCode="0.00;\-0;;@"/>
    <numFmt numFmtId="170" formatCode="0.0;\-0.000;;@"/>
    <numFmt numFmtId="171" formatCode="m/d/yy;@"/>
    <numFmt numFmtId="172" formatCode="_([$€-2]* #,##0.00_);_([$€-2]* \(#,##0.00\);_([$€-2]* &quot;-&quot;??_)"/>
    <numFmt numFmtId="173" formatCode="mm/dd/yy;@"/>
    <numFmt numFmtId="174" formatCode=";;;"/>
    <numFmt numFmtId="175" formatCode="0.0;\-0.0;;@"/>
    <numFmt numFmtId="176" formatCode="0.0_);[Red]\(0.0\)"/>
  </numFmts>
  <fonts count="104">
    <font>
      <sz val="10"/>
      <name val="Arial"/>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sz val="9"/>
      <name val="Trebuchet MS"/>
      <family val="2"/>
    </font>
    <font>
      <vertAlign val="superscript"/>
      <sz val="10"/>
      <name val="Trebuchet MS"/>
      <family val="2"/>
    </font>
    <font>
      <sz val="10"/>
      <name val="Arial"/>
      <family val="2"/>
    </font>
    <font>
      <b/>
      <sz val="20"/>
      <name val="Trebuchet MS"/>
      <family val="2"/>
    </font>
    <font>
      <sz val="8"/>
      <name val="Arial"/>
      <family val="2"/>
    </font>
    <font>
      <sz val="10"/>
      <name val="Arial Narrow"/>
      <family val="2"/>
    </font>
    <font>
      <b/>
      <sz val="10"/>
      <name val="Arial"/>
      <family val="2"/>
    </font>
    <font>
      <sz val="11"/>
      <color indexed="8"/>
      <name val="Calibri"/>
      <family val="2"/>
    </font>
    <font>
      <sz val="20"/>
      <name val="Trebuchet MS"/>
      <family val="2"/>
    </font>
    <font>
      <sz val="20"/>
      <name val="Arial"/>
      <family val="2"/>
    </font>
    <font>
      <b/>
      <sz val="22"/>
      <name val="Trebuchet MS"/>
      <family val="2"/>
    </font>
    <font>
      <sz val="10"/>
      <name val="AmerType Md BT"/>
      <family val="1"/>
    </font>
    <font>
      <sz val="14"/>
      <name val="Trebuchet MS"/>
      <family val="2"/>
    </font>
    <font>
      <sz val="9"/>
      <name val="Arial"/>
      <family val="2"/>
    </font>
    <font>
      <b/>
      <sz val="20"/>
      <color indexed="8"/>
      <name val="Trebuchet MS"/>
      <family val="2"/>
    </font>
    <font>
      <sz val="10"/>
      <color indexed="8"/>
      <name val="Trebuchet MS"/>
      <family val="2"/>
    </font>
    <font>
      <b/>
      <sz val="10"/>
      <color indexed="8"/>
      <name val="Trebuchet MS"/>
      <family val="2"/>
    </font>
    <font>
      <sz val="10"/>
      <color indexed="54"/>
      <name val="Trebuchet MS"/>
      <family val="2"/>
    </font>
    <font>
      <b/>
      <sz val="10"/>
      <color indexed="9"/>
      <name val="Trebuchet MS"/>
      <family val="2"/>
    </font>
    <font>
      <sz val="8"/>
      <name val="Trebuchet MS"/>
      <family val="2"/>
    </font>
    <font>
      <sz val="10"/>
      <color indexed="10"/>
      <name val="Trebuchet MS"/>
      <family val="2"/>
    </font>
    <font>
      <i/>
      <vertAlign val="superscript"/>
      <sz val="10"/>
      <name val="Trebuchet MS"/>
      <family val="2"/>
    </font>
    <font>
      <b/>
      <sz val="14"/>
      <name val="Trebuchet MS"/>
      <family val="2"/>
    </font>
    <font>
      <b/>
      <sz val="14"/>
      <name val="Arial"/>
      <family val="2"/>
    </font>
    <font>
      <sz val="11"/>
      <color indexed="8"/>
      <name val="Trebuchet MS"/>
      <family val="2"/>
    </font>
    <font>
      <b/>
      <sz val="11"/>
      <color indexed="8"/>
      <name val="Trebuchet MS"/>
      <family val="2"/>
    </font>
    <font>
      <vertAlign val="subscript"/>
      <sz val="10"/>
      <name val="Trebuchet MS"/>
      <family val="2"/>
    </font>
    <font>
      <sz val="11"/>
      <name val="Trebuchet MS"/>
      <family val="2"/>
    </font>
    <font>
      <i/>
      <sz val="9"/>
      <name val="Trebuchet MS"/>
      <family val="2"/>
    </font>
    <font>
      <i/>
      <sz val="10"/>
      <name val="Arial"/>
      <family val="2"/>
    </font>
    <font>
      <b/>
      <sz val="16"/>
      <color indexed="8"/>
      <name val="Trebuchet MS"/>
      <family val="2"/>
    </font>
    <font>
      <sz val="10"/>
      <color indexed="8"/>
      <name val="Arial Unicode MS"/>
      <family val="2"/>
    </font>
    <font>
      <b/>
      <u/>
      <sz val="10"/>
      <color indexed="8"/>
      <name val="Trebuchet MS"/>
      <family val="2"/>
    </font>
    <font>
      <vertAlign val="superscript"/>
      <sz val="12"/>
      <name val="Trebuchet MS"/>
      <family val="2"/>
    </font>
    <font>
      <b/>
      <sz val="11"/>
      <name val="Trebuchet MS"/>
      <family val="2"/>
    </font>
    <font>
      <i/>
      <u/>
      <sz val="10"/>
      <name val="Trebuchet MS"/>
      <family val="2"/>
    </font>
    <font>
      <vertAlign val="superscript"/>
      <sz val="10"/>
      <name val="Arial"/>
      <family val="2"/>
    </font>
    <font>
      <sz val="9"/>
      <name val="Arial"/>
      <family val="2"/>
    </font>
    <font>
      <sz val="10"/>
      <color indexed="60"/>
      <name val="Trebuchet MS"/>
      <family val="2"/>
    </font>
    <font>
      <b/>
      <sz val="12"/>
      <name val="Arial"/>
      <family val="2"/>
    </font>
    <font>
      <sz val="12"/>
      <name val="Arial"/>
      <family val="2"/>
    </font>
    <font>
      <b/>
      <sz val="12"/>
      <color indexed="8"/>
      <name val="Trebuchet MS"/>
      <family val="2"/>
    </font>
    <font>
      <b/>
      <i/>
      <sz val="12"/>
      <name val="Trebuchet MS"/>
      <family val="2"/>
    </font>
    <font>
      <vertAlign val="superscript"/>
      <sz val="11"/>
      <name val="Trebuchet MS"/>
      <family val="2"/>
    </font>
    <font>
      <b/>
      <sz val="10"/>
      <color indexed="10"/>
      <name val="Trebuchet MS"/>
      <family val="2"/>
    </font>
    <font>
      <b/>
      <vertAlign val="superscript"/>
      <sz val="10"/>
      <color indexed="8"/>
      <name val="Trebuchet MS"/>
      <family val="2"/>
    </font>
    <font>
      <sz val="10"/>
      <name val="Arial"/>
      <family val="2"/>
    </font>
    <font>
      <i/>
      <sz val="10"/>
      <color indexed="47"/>
      <name val="Trebuchet MS"/>
      <family val="2"/>
    </font>
    <font>
      <sz val="11"/>
      <color indexed="8"/>
      <name val="Trebuchet MS"/>
      <family val="2"/>
    </font>
    <font>
      <b/>
      <sz val="11"/>
      <color indexed="8"/>
      <name val="Trebuchet MS"/>
      <family val="2"/>
    </font>
    <font>
      <sz val="10"/>
      <color indexed="8"/>
      <name val="Trebuchet MS"/>
      <family val="2"/>
    </font>
    <font>
      <b/>
      <sz val="14"/>
      <color indexed="8"/>
      <name val="Trebuchet MS"/>
      <family val="2"/>
    </font>
    <font>
      <sz val="10"/>
      <color indexed="9"/>
      <name val="Trebuchet MS"/>
      <family val="2"/>
    </font>
    <font>
      <i/>
      <sz val="10"/>
      <color indexed="8"/>
      <name val="Trebuchet MS"/>
      <family val="2"/>
    </font>
    <font>
      <b/>
      <sz val="22"/>
      <color indexed="8"/>
      <name val="Trebuchet MS"/>
      <family val="2"/>
    </font>
    <font>
      <b/>
      <sz val="10"/>
      <color indexed="47"/>
      <name val="Trebuchet MS"/>
      <family val="2"/>
    </font>
    <font>
      <sz val="16"/>
      <name val="Trebuchet MS"/>
      <family val="2"/>
    </font>
    <font>
      <sz val="10"/>
      <color indexed="9"/>
      <name val="Trebuchet MS"/>
      <family val="2"/>
    </font>
    <font>
      <sz val="10"/>
      <color indexed="47"/>
      <name val="Trebuchet MS"/>
      <family val="2"/>
    </font>
    <font>
      <sz val="10"/>
      <color indexed="8"/>
      <name val="Arial"/>
      <family val="2"/>
    </font>
    <font>
      <u/>
      <sz val="10"/>
      <color indexed="12"/>
      <name val="Arial"/>
      <family val="2"/>
    </font>
    <font>
      <i/>
      <sz val="9.5"/>
      <name val="Trebuchet MS"/>
      <family val="2"/>
    </font>
    <font>
      <sz val="9.8000000000000007"/>
      <name val="Trebuchet MS"/>
      <family val="2"/>
    </font>
    <font>
      <sz val="9.5"/>
      <name val="Trebuchet MS"/>
      <family val="2"/>
    </font>
    <font>
      <b/>
      <sz val="10"/>
      <color indexed="9"/>
      <name val="Trebuchet MS"/>
      <family val="2"/>
    </font>
    <font>
      <sz val="10"/>
      <color indexed="8"/>
      <name val="Trebuchet MS"/>
      <family val="2"/>
    </font>
    <font>
      <sz val="10"/>
      <color indexed="9"/>
      <name val="Trebuchet MS"/>
      <family val="2"/>
    </font>
    <font>
      <i/>
      <sz val="10"/>
      <color indexed="53"/>
      <name val="Trebuchet MS"/>
      <family val="2"/>
    </font>
    <font>
      <i/>
      <sz val="9"/>
      <color indexed="53"/>
      <name val="Trebuchet MS"/>
      <family val="2"/>
    </font>
    <font>
      <i/>
      <sz val="10"/>
      <color indexed="47"/>
      <name val="Trebuchet MS"/>
      <family val="2"/>
    </font>
    <font>
      <i/>
      <sz val="9"/>
      <color indexed="47"/>
      <name val="Trebuchet MS"/>
      <family val="2"/>
    </font>
    <font>
      <sz val="10"/>
      <color indexed="10"/>
      <name val="Trebuchet MS"/>
      <family val="2"/>
    </font>
    <font>
      <sz val="10"/>
      <color indexed="8"/>
      <name val="Trebuchet MS"/>
      <family val="2"/>
    </font>
    <font>
      <i/>
      <sz val="10"/>
      <color indexed="47"/>
      <name val="Trebuchet MS"/>
      <family val="2"/>
    </font>
    <font>
      <sz val="10"/>
      <color indexed="8"/>
      <name val="Arial"/>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sz val="10"/>
      <color theme="0" tint="-4.9989318521683403E-2"/>
      <name val="Trebuchet MS"/>
      <family val="2"/>
    </font>
    <font>
      <sz val="10"/>
      <color theme="0" tint="-0.249977111117893"/>
      <name val="Trebuchet MS"/>
      <family val="2"/>
    </font>
    <font>
      <sz val="8"/>
      <color rgb="FF000000"/>
      <name val="Tahoma"/>
      <family val="2"/>
    </font>
    <font>
      <b/>
      <sz val="10"/>
      <color rgb="FF7030A0"/>
      <name val="Arial"/>
      <family val="2"/>
    </font>
    <font>
      <b/>
      <sz val="10"/>
      <color rgb="FFFF9900"/>
      <name val="Arial"/>
      <family val="2"/>
    </font>
    <font>
      <b/>
      <sz val="10"/>
      <color rgb="FFFF3399"/>
      <name val="Arial"/>
      <family val="2"/>
    </font>
    <font>
      <sz val="10"/>
      <color rgb="FFFF0000"/>
      <name val="Arial"/>
      <family val="2"/>
    </font>
    <font>
      <b/>
      <sz val="10"/>
      <color rgb="FFFF0000"/>
      <name val="Arial"/>
      <family val="2"/>
    </font>
    <font>
      <b/>
      <sz val="22"/>
      <name val="Arial"/>
      <family val="2"/>
    </font>
    <font>
      <b/>
      <i/>
      <sz val="10"/>
      <color rgb="FFFF6600"/>
      <name val="Trebuchet MS"/>
      <family val="2"/>
    </font>
    <font>
      <i/>
      <sz val="10"/>
      <color rgb="FFFF6600"/>
      <name val="Trebuchet MS"/>
      <family val="2"/>
    </font>
    <font>
      <sz val="10"/>
      <color rgb="FFFF6600"/>
      <name val="Trebuchet MS"/>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EE5ED"/>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92D050"/>
        <bgColor indexed="64"/>
      </patternFill>
    </fill>
  </fills>
  <borders count="52">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2">
    <xf numFmtId="0" fontId="0" fillId="0" borderId="0"/>
    <xf numFmtId="172" fontId="3" fillId="0" borderId="0" applyFont="0" applyFill="0" applyBorder="0" applyAlignment="0" applyProtection="0"/>
    <xf numFmtId="172" fontId="15" fillId="0" borderId="0" applyFont="0" applyFill="0" applyBorder="0" applyAlignment="0" applyProtection="0"/>
    <xf numFmtId="172" fontId="3" fillId="0" borderId="0" applyFont="0" applyFill="0" applyBorder="0" applyAlignment="0" applyProtection="0"/>
    <xf numFmtId="172" fontId="15" fillId="0" borderId="0" applyFont="0" applyFill="0" applyBorder="0" applyAlignment="0" applyProtection="0"/>
    <xf numFmtId="172" fontId="3" fillId="0" borderId="0" applyFont="0" applyFill="0" applyBorder="0" applyAlignment="0" applyProtection="0"/>
    <xf numFmtId="172" fontId="15" fillId="0" borderId="0" applyFont="0" applyFill="0" applyBorder="0" applyAlignment="0" applyProtection="0"/>
    <xf numFmtId="172" fontId="3" fillId="0" borderId="0" applyFont="0" applyFill="0" applyBorder="0" applyAlignment="0" applyProtection="0"/>
    <xf numFmtId="0" fontId="73" fillId="0" borderId="0" applyNumberFormat="0" applyFill="0" applyBorder="0" applyAlignment="0" applyProtection="0">
      <alignment vertical="top"/>
      <protection locked="0"/>
    </xf>
    <xf numFmtId="0" fontId="20" fillId="0" borderId="0"/>
    <xf numFmtId="0" fontId="15" fillId="0" borderId="0"/>
    <xf numFmtId="0" fontId="20" fillId="0" borderId="0"/>
    <xf numFmtId="0" fontId="2" fillId="0" borderId="0"/>
    <xf numFmtId="0" fontId="1" fillId="0" borderId="0"/>
    <xf numFmtId="0" fontId="2" fillId="0" borderId="0"/>
    <xf numFmtId="0" fontId="1" fillId="0" borderId="0"/>
    <xf numFmtId="0" fontId="1" fillId="0" borderId="0"/>
    <xf numFmtId="0" fontId="20" fillId="0" borderId="0"/>
    <xf numFmtId="0" fontId="2" fillId="0" borderId="0"/>
    <xf numFmtId="0" fontId="1" fillId="0" borderId="0"/>
    <xf numFmtId="0" fontId="2"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20" fillId="0" borderId="0"/>
    <xf numFmtId="0" fontId="2" fillId="0" borderId="0"/>
    <xf numFmtId="0" fontId="1" fillId="0" borderId="0"/>
    <xf numFmtId="0" fontId="2" fillId="0" borderId="0"/>
    <xf numFmtId="0" fontId="1" fillId="0" borderId="0"/>
    <xf numFmtId="0" fontId="1" fillId="0" borderId="0"/>
    <xf numFmtId="0" fontId="15" fillId="0" borderId="0"/>
    <xf numFmtId="0" fontId="3" fillId="0" borderId="0"/>
    <xf numFmtId="0" fontId="2" fillId="0" borderId="0"/>
    <xf numFmtId="0" fontId="2" fillId="0" borderId="0"/>
    <xf numFmtId="0" fontId="1" fillId="0" borderId="0"/>
    <xf numFmtId="0" fontId="1" fillId="0" borderId="0"/>
    <xf numFmtId="0" fontId="2" fillId="0" borderId="0"/>
    <xf numFmtId="0" fontId="1" fillId="0" borderId="0"/>
    <xf numFmtId="0" fontId="59" fillId="0" borderId="0"/>
    <xf numFmtId="0" fontId="3" fillId="0" borderId="0"/>
    <xf numFmtId="0" fontId="3" fillId="0" borderId="0"/>
    <xf numFmtId="0" fontId="1" fillId="0" borderId="0"/>
    <xf numFmtId="0" fontId="90" fillId="0" borderId="0"/>
    <xf numFmtId="0" fontId="90" fillId="0" borderId="0"/>
    <xf numFmtId="0" fontId="90" fillId="0" borderId="0"/>
    <xf numFmtId="0" fontId="90" fillId="0" borderId="0"/>
    <xf numFmtId="0" fontId="90" fillId="0" borderId="0"/>
    <xf numFmtId="0" fontId="15"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cellStyleXfs>
  <cellXfs count="1608">
    <xf numFmtId="0" fontId="0" fillId="0" borderId="0" xfId="0"/>
    <xf numFmtId="0" fontId="5" fillId="0" borderId="0" xfId="0" applyFont="1"/>
    <xf numFmtId="0" fontId="5" fillId="0" borderId="1" xfId="0" applyFont="1" applyBorder="1"/>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quotePrefix="1" applyFont="1" applyAlignment="1">
      <alignment horizontal="center" vertical="center"/>
    </xf>
    <xf numFmtId="0" fontId="5" fillId="0" borderId="0" xfId="0" applyFont="1" applyAlignment="1">
      <alignment horizontal="left" vertical="center" wrapText="1"/>
    </xf>
    <xf numFmtId="0" fontId="5" fillId="0" borderId="2" xfId="0" applyFont="1" applyBorder="1"/>
    <xf numFmtId="0" fontId="11" fillId="0" borderId="0" xfId="0" applyFont="1" applyAlignment="1">
      <alignment horizontal="center"/>
    </xf>
    <xf numFmtId="164" fontId="5" fillId="0" borderId="0" xfId="0" applyNumberFormat="1" applyFont="1" applyAlignment="1">
      <alignment horizontal="center" vertical="center"/>
    </xf>
    <xf numFmtId="0" fontId="5" fillId="0" borderId="0" xfId="0" applyFont="1" applyAlignment="1">
      <alignment horizontal="left" wrapText="1"/>
    </xf>
    <xf numFmtId="0" fontId="15" fillId="0" borderId="0" xfId="0" applyFont="1" applyAlignment="1">
      <alignment horizontal="center" vertical="center"/>
    </xf>
    <xf numFmtId="0" fontId="15" fillId="0" borderId="0" xfId="0" applyFont="1"/>
    <xf numFmtId="0" fontId="15" fillId="0" borderId="0" xfId="0" applyFont="1" applyAlignment="1">
      <alignment horizontal="center"/>
    </xf>
    <xf numFmtId="0" fontId="7" fillId="0" borderId="0" xfId="0" applyFont="1" applyAlignment="1">
      <alignment horizontal="left" vertical="center"/>
    </xf>
    <xf numFmtId="2" fontId="5" fillId="0" borderId="0" xfId="0" applyNumberFormat="1" applyFont="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5" fillId="0" borderId="0" xfId="0" applyFont="1" applyAlignment="1">
      <alignment horizontal="right" vertical="center"/>
    </xf>
    <xf numFmtId="165" fontId="5" fillId="0" borderId="0" xfId="0" applyNumberFormat="1" applyFont="1" applyAlignment="1">
      <alignment horizontal="center" vertical="center"/>
    </xf>
    <xf numFmtId="0" fontId="15" fillId="0" borderId="0" xfId="0" applyFont="1" applyAlignment="1">
      <alignment vertical="center"/>
    </xf>
    <xf numFmtId="165" fontId="5" fillId="0" borderId="0" xfId="0" applyNumberFormat="1" applyFont="1" applyAlignment="1">
      <alignment horizontal="center"/>
    </xf>
    <xf numFmtId="2" fontId="5" fillId="0" borderId="0" xfId="0" applyNumberFormat="1" applyFont="1" applyAlignment="1">
      <alignment horizontal="center"/>
    </xf>
    <xf numFmtId="49" fontId="5" fillId="0" borderId="0" xfId="0" applyNumberFormat="1" applyFont="1" applyAlignment="1">
      <alignment horizontal="left"/>
    </xf>
    <xf numFmtId="165" fontId="5" fillId="0" borderId="0" xfId="0" applyNumberFormat="1" applyFont="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165" fontId="5" fillId="0" borderId="0" xfId="0" applyNumberFormat="1"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2" fontId="7" fillId="0" borderId="0" xfId="0" applyNumberFormat="1" applyFont="1" applyAlignment="1">
      <alignment horizontal="center" vertical="center"/>
    </xf>
    <xf numFmtId="0" fontId="7" fillId="0" borderId="0" xfId="0" applyFont="1"/>
    <xf numFmtId="0" fontId="5" fillId="0" borderId="0" xfId="0" applyFont="1" applyAlignment="1">
      <alignment horizontal="center" vertical="center" wrapText="1"/>
    </xf>
    <xf numFmtId="0" fontId="6" fillId="0" borderId="0" xfId="0" applyFont="1"/>
    <xf numFmtId="49" fontId="7" fillId="0" borderId="0" xfId="0" applyNumberFormat="1" applyFont="1" applyAlignment="1">
      <alignment horizontal="center" vertical="center"/>
    </xf>
    <xf numFmtId="1" fontId="7" fillId="0" borderId="0" xfId="0" applyNumberFormat="1" applyFont="1" applyAlignment="1">
      <alignment horizontal="center" vertical="center"/>
    </xf>
    <xf numFmtId="165" fontId="7" fillId="0" borderId="0" xfId="0" applyNumberFormat="1" applyFont="1" applyAlignment="1">
      <alignment horizontal="center" vertical="center"/>
    </xf>
    <xf numFmtId="168" fontId="7" fillId="0" borderId="0" xfId="0" applyNumberFormat="1" applyFont="1" applyAlignment="1">
      <alignment horizontal="center" vertical="center"/>
    </xf>
    <xf numFmtId="1" fontId="5" fillId="0" borderId="0" xfId="0" applyNumberFormat="1"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xf>
    <xf numFmtId="0" fontId="5" fillId="0" borderId="0" xfId="0" applyFont="1" applyAlignment="1">
      <alignment horizontal="right"/>
    </xf>
    <xf numFmtId="0" fontId="6" fillId="0" borderId="0" xfId="0" applyFont="1" applyAlignment="1">
      <alignment horizontal="center"/>
    </xf>
    <xf numFmtId="0" fontId="5" fillId="0" borderId="9" xfId="0" applyFont="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7" fillId="0" borderId="4"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right"/>
    </xf>
    <xf numFmtId="0" fontId="5" fillId="0" borderId="9" xfId="0" applyFont="1" applyBorder="1" applyAlignment="1">
      <alignment horizontal="left" vertical="center"/>
    </xf>
    <xf numFmtId="0" fontId="21" fillId="0" borderId="0" xfId="0" applyFont="1"/>
    <xf numFmtId="0" fontId="5" fillId="0" borderId="0" xfId="0" quotePrefix="1" applyFont="1" applyAlignment="1">
      <alignment vertical="center"/>
    </xf>
    <xf numFmtId="2" fontId="18" fillId="0" borderId="0" xfId="0" applyNumberFormat="1" applyFont="1" applyAlignment="1">
      <alignment horizontal="center" vertical="center"/>
    </xf>
    <xf numFmtId="165" fontId="7" fillId="0" borderId="0" xfId="0" applyNumberFormat="1" applyFont="1" applyAlignment="1">
      <alignment horizontal="center" vertical="center" wrapText="1"/>
    </xf>
    <xf numFmtId="1" fontId="6" fillId="0" borderId="0" xfId="0" applyNumberFormat="1" applyFont="1" applyAlignment="1">
      <alignment horizontal="left" vertical="center"/>
    </xf>
    <xf numFmtId="16" fontId="11" fillId="0" borderId="0" xfId="0" quotePrefix="1" applyNumberFormat="1" applyFont="1" applyAlignment="1">
      <alignment horizontal="center"/>
    </xf>
    <xf numFmtId="0" fontId="11" fillId="0" borderId="0" xfId="0" quotePrefix="1" applyFont="1" applyAlignment="1">
      <alignment horizontal="center"/>
    </xf>
    <xf numFmtId="0" fontId="5" fillId="0" borderId="6" xfId="0" applyFont="1" applyBorder="1" applyAlignment="1">
      <alignment vertical="center"/>
    </xf>
    <xf numFmtId="164" fontId="7" fillId="0" borderId="0" xfId="0" applyNumberFormat="1" applyFont="1" applyAlignment="1">
      <alignment horizontal="center" vertical="center"/>
    </xf>
    <xf numFmtId="0" fontId="5" fillId="0" borderId="10" xfId="0" applyFont="1" applyBorder="1"/>
    <xf numFmtId="49" fontId="7" fillId="0" borderId="0" xfId="0" applyNumberFormat="1" applyFont="1" applyAlignment="1">
      <alignment horizontal="left" vertical="center" wrapText="1"/>
    </xf>
    <xf numFmtId="166" fontId="7" fillId="0" borderId="0" xfId="0" applyNumberFormat="1" applyFont="1" applyAlignment="1">
      <alignment horizontal="center" vertical="center"/>
    </xf>
    <xf numFmtId="0" fontId="11" fillId="0" borderId="0" xfId="0" applyFont="1" applyAlignment="1">
      <alignment horizontal="left" vertical="top"/>
    </xf>
    <xf numFmtId="0" fontId="5" fillId="0" borderId="6" xfId="0" quotePrefix="1" applyFont="1" applyBorder="1" applyAlignment="1">
      <alignment horizontal="center" vertical="center"/>
    </xf>
    <xf numFmtId="0" fontId="7" fillId="0" borderId="6" xfId="0" applyFont="1" applyBorder="1" applyAlignment="1">
      <alignment horizontal="center" vertical="center"/>
    </xf>
    <xf numFmtId="0" fontId="5" fillId="0" borderId="0" xfId="0" quotePrefix="1" applyFont="1" applyAlignment="1">
      <alignment horizontal="center"/>
    </xf>
    <xf numFmtId="0" fontId="22" fillId="0" borderId="0" xfId="0" applyFont="1"/>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left" vertical="center"/>
    </xf>
    <xf numFmtId="1" fontId="5" fillId="0" borderId="0" xfId="0" applyNumberFormat="1" applyFont="1" applyAlignment="1">
      <alignment horizontal="center" vertical="center"/>
    </xf>
    <xf numFmtId="0" fontId="5" fillId="0" borderId="4" xfId="0" applyFont="1" applyBorder="1" applyAlignment="1">
      <alignment horizontal="left" vertical="center"/>
    </xf>
    <xf numFmtId="0" fontId="5" fillId="0" borderId="11" xfId="0" applyFont="1" applyBorder="1"/>
    <xf numFmtId="0" fontId="10" fillId="0" borderId="0" xfId="0" applyFont="1" applyAlignment="1">
      <alignment horizontal="center" vertical="center"/>
    </xf>
    <xf numFmtId="0" fontId="10" fillId="0" borderId="0" xfId="9" applyFont="1"/>
    <xf numFmtId="0" fontId="30" fillId="0" borderId="0" xfId="0" applyFont="1"/>
    <xf numFmtId="0" fontId="30" fillId="0" borderId="0" xfId="0" applyFont="1" applyAlignment="1">
      <alignment vertical="center"/>
    </xf>
    <xf numFmtId="2" fontId="30" fillId="0" borderId="0" xfId="0" applyNumberFormat="1" applyFont="1" applyAlignment="1">
      <alignment horizontal="center"/>
    </xf>
    <xf numFmtId="2" fontId="30" fillId="0" borderId="0" xfId="0" applyNumberFormat="1" applyFont="1" applyAlignment="1">
      <alignment horizontal="center" vertical="center"/>
    </xf>
    <xf numFmtId="0" fontId="10" fillId="0" borderId="0" xfId="0" applyFont="1"/>
    <xf numFmtId="0" fontId="10" fillId="0" borderId="0" xfId="0" applyFont="1" applyAlignment="1">
      <alignment vertical="center"/>
    </xf>
    <xf numFmtId="167" fontId="10" fillId="0" borderId="0" xfId="0" applyNumberFormat="1" applyFont="1" applyAlignment="1">
      <alignment horizontal="center" vertical="center"/>
    </xf>
    <xf numFmtId="0" fontId="31" fillId="0" borderId="0" xfId="0" applyFont="1" applyAlignment="1">
      <alignment horizontal="left" vertical="center"/>
    </xf>
    <xf numFmtId="0" fontId="10" fillId="0" borderId="0" xfId="0" applyFont="1" applyAlignment="1">
      <alignment horizontal="left" vertical="center"/>
    </xf>
    <xf numFmtId="0" fontId="33" fillId="0" borderId="0" xfId="0" applyFont="1" applyAlignment="1">
      <alignment horizontal="left" vertical="center"/>
    </xf>
    <xf numFmtId="0" fontId="5" fillId="0" borderId="0" xfId="0" applyFont="1" applyAlignment="1">
      <alignment horizontal="center" vertical="top"/>
    </xf>
    <xf numFmtId="49" fontId="5" fillId="0" borderId="0" xfId="0" applyNumberFormat="1" applyFont="1" applyAlignment="1">
      <alignment horizontal="left" vertical="center"/>
    </xf>
    <xf numFmtId="2" fontId="5" fillId="2" borderId="0" xfId="0" applyNumberFormat="1" applyFont="1" applyFill="1" applyAlignment="1">
      <alignment horizontal="center"/>
    </xf>
    <xf numFmtId="2" fontId="5" fillId="2" borderId="0" xfId="0" applyNumberFormat="1" applyFont="1" applyFill="1" applyAlignment="1">
      <alignment horizontal="center" vertical="center"/>
    </xf>
    <xf numFmtId="0" fontId="5" fillId="0" borderId="6" xfId="0" applyFont="1" applyBorder="1" applyAlignment="1">
      <alignment horizontal="left"/>
    </xf>
    <xf numFmtId="2" fontId="5" fillId="0" borderId="0" xfId="0" applyNumberFormat="1" applyFont="1"/>
    <xf numFmtId="167" fontId="5" fillId="0" borderId="0" xfId="0" applyNumberFormat="1" applyFont="1"/>
    <xf numFmtId="0" fontId="7" fillId="0" borderId="0" xfId="0" applyFont="1" applyAlignment="1">
      <alignment horizontal="center" wrapText="1"/>
    </xf>
    <xf numFmtId="49" fontId="16" fillId="0" borderId="9"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5" fillId="0" borderId="7" xfId="0" applyFont="1" applyBorder="1" applyAlignment="1">
      <alignment horizontal="left" vertical="center" wrapText="1"/>
    </xf>
    <xf numFmtId="0" fontId="7" fillId="0" borderId="7" xfId="0" applyFont="1" applyBorder="1" applyAlignment="1">
      <alignment horizontal="center"/>
    </xf>
    <xf numFmtId="0" fontId="5" fillId="0" borderId="6" xfId="0" quotePrefix="1" applyFont="1" applyBorder="1" applyAlignment="1">
      <alignment horizontal="center"/>
    </xf>
    <xf numFmtId="1" fontId="7" fillId="0" borderId="4" xfId="0" applyNumberFormat="1" applyFont="1" applyBorder="1" applyAlignment="1">
      <alignment horizontal="center" vertical="center"/>
    </xf>
    <xf numFmtId="0" fontId="5" fillId="0" borderId="4" xfId="0" applyFont="1" applyBorder="1" applyAlignment="1">
      <alignment vertical="center"/>
    </xf>
    <xf numFmtId="0" fontId="35" fillId="0" borderId="0" xfId="0" applyFont="1" applyAlignment="1">
      <alignment horizontal="center" vertical="center"/>
    </xf>
    <xf numFmtId="0" fontId="35" fillId="0" borderId="0" xfId="0" applyFont="1" applyAlignment="1">
      <alignment horizontal="left" vertical="center"/>
    </xf>
    <xf numFmtId="0" fontId="5" fillId="0" borderId="0" xfId="0" quotePrefix="1" applyFont="1"/>
    <xf numFmtId="0" fontId="22" fillId="0" borderId="9" xfId="0" applyFont="1" applyBorder="1"/>
    <xf numFmtId="0" fontId="5" fillId="0" borderId="6" xfId="0" quotePrefix="1" applyFont="1" applyBorder="1"/>
    <xf numFmtId="0" fontId="5" fillId="0" borderId="7" xfId="0" applyFont="1" applyBorder="1" applyAlignment="1">
      <alignment horizontal="left" wrapText="1"/>
    </xf>
    <xf numFmtId="0" fontId="5" fillId="0" borderId="0" xfId="0" quotePrefix="1" applyFont="1" applyAlignment="1">
      <alignment horizontal="right" vertical="center"/>
    </xf>
    <xf numFmtId="0" fontId="5" fillId="0" borderId="6" xfId="0" quotePrefix="1" applyFont="1" applyBorder="1" applyAlignment="1">
      <alignment horizontal="left"/>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9" xfId="0" applyFont="1" applyBorder="1" applyAlignment="1">
      <alignment vertical="center"/>
    </xf>
    <xf numFmtId="0" fontId="5" fillId="0" borderId="6" xfId="0" quotePrefix="1" applyFont="1" applyBorder="1" applyAlignment="1">
      <alignment vertical="center"/>
    </xf>
    <xf numFmtId="0" fontId="5" fillId="0" borderId="7" xfId="0" applyFont="1" applyBorder="1" applyAlignment="1">
      <alignment vertical="center"/>
    </xf>
    <xf numFmtId="0" fontId="5" fillId="0" borderId="6" xfId="0" quotePrefix="1" applyFont="1" applyBorder="1" applyAlignment="1">
      <alignment horizontal="left" vertical="center"/>
    </xf>
    <xf numFmtId="0" fontId="5" fillId="0" borderId="7" xfId="0" applyFont="1" applyBorder="1" applyAlignment="1">
      <alignment horizontal="center" vertical="center"/>
    </xf>
    <xf numFmtId="0" fontId="7" fillId="0" borderId="7" xfId="0" applyFont="1" applyBorder="1" applyAlignment="1">
      <alignment horizontal="center" vertical="center"/>
    </xf>
    <xf numFmtId="0" fontId="5" fillId="0" borderId="6" xfId="0" applyFont="1" applyBorder="1" applyAlignment="1">
      <alignment horizontal="right" vertical="center"/>
    </xf>
    <xf numFmtId="0" fontId="7" fillId="0" borderId="9" xfId="0" applyFont="1" applyBorder="1" applyAlignment="1">
      <alignment horizontal="center" vertical="center"/>
    </xf>
    <xf numFmtId="0" fontId="5" fillId="0" borderId="0" xfId="0" quotePrefix="1" applyFont="1" applyAlignment="1">
      <alignment horizontal="center" vertical="center" wrapText="1"/>
    </xf>
    <xf numFmtId="0" fontId="7" fillId="0" borderId="9" xfId="0" applyFont="1" applyBorder="1"/>
    <xf numFmtId="165" fontId="7" fillId="0" borderId="4" xfId="0" applyNumberFormat="1" applyFont="1" applyBorder="1" applyAlignment="1">
      <alignment horizontal="center" vertical="center"/>
    </xf>
    <xf numFmtId="0" fontId="5" fillId="0" borderId="5" xfId="0" applyFont="1" applyBorder="1" applyAlignment="1">
      <alignment horizontal="left" vertical="center"/>
    </xf>
    <xf numFmtId="165" fontId="5" fillId="0" borderId="0" xfId="0" applyNumberFormat="1" applyFont="1" applyAlignment="1">
      <alignment horizontal="left"/>
    </xf>
    <xf numFmtId="0" fontId="5" fillId="0" borderId="1" xfId="0" applyFont="1" applyBorder="1" applyAlignment="1">
      <alignment horizontal="left" vertical="center" wrapText="1"/>
    </xf>
    <xf numFmtId="0" fontId="7" fillId="0" borderId="9" xfId="0" applyFont="1" applyBorder="1" applyAlignment="1">
      <alignment horizontal="left" vertical="center"/>
    </xf>
    <xf numFmtId="0" fontId="5" fillId="0" borderId="9" xfId="0" applyFont="1" applyBorder="1" applyAlignment="1">
      <alignment horizontal="center" vertical="center" wrapText="1"/>
    </xf>
    <xf numFmtId="0" fontId="12" fillId="0" borderId="0" xfId="0" applyFont="1" applyAlignment="1">
      <alignment horizontal="left" vertical="center"/>
    </xf>
    <xf numFmtId="0" fontId="5" fillId="0" borderId="3" xfId="0" applyFont="1" applyBorder="1" applyAlignment="1">
      <alignment horizontal="center" vertical="center"/>
    </xf>
    <xf numFmtId="0" fontId="5" fillId="0" borderId="6" xfId="0" quotePrefix="1" applyFont="1" applyBorder="1" applyAlignment="1">
      <alignment horizontal="right" vertical="center"/>
    </xf>
    <xf numFmtId="0" fontId="7" fillId="0" borderId="6" xfId="0" applyFont="1" applyBorder="1" applyAlignment="1">
      <alignment horizontal="right" vertical="center"/>
    </xf>
    <xf numFmtId="1" fontId="7" fillId="0" borderId="0" xfId="0" applyNumberFormat="1" applyFont="1"/>
    <xf numFmtId="165" fontId="4" fillId="0" borderId="0" xfId="0" applyNumberFormat="1" applyFont="1" applyAlignment="1">
      <alignment horizontal="center" vertical="center"/>
    </xf>
    <xf numFmtId="2" fontId="5" fillId="0" borderId="7" xfId="0" applyNumberFormat="1" applyFont="1" applyBorder="1" applyAlignment="1">
      <alignment horizontal="center" vertical="center"/>
    </xf>
    <xf numFmtId="0" fontId="11" fillId="0" borderId="7" xfId="0" applyFont="1" applyBorder="1" applyAlignment="1">
      <alignment horizontal="center"/>
    </xf>
    <xf numFmtId="0" fontId="11" fillId="0" borderId="6" xfId="0" applyFont="1" applyBorder="1" applyAlignment="1">
      <alignment horizontal="center"/>
    </xf>
    <xf numFmtId="0" fontId="5" fillId="0" borderId="9" xfId="0" applyFont="1" applyBorder="1" applyAlignment="1">
      <alignment horizontal="center" vertical="center"/>
    </xf>
    <xf numFmtId="165" fontId="7" fillId="0" borderId="0" xfId="0" applyNumberFormat="1" applyFont="1" applyAlignment="1">
      <alignment horizontal="center"/>
    </xf>
    <xf numFmtId="0" fontId="35" fillId="0" borderId="0" xfId="0" applyFont="1"/>
    <xf numFmtId="0" fontId="25" fillId="0" borderId="0" xfId="0" applyFont="1" applyAlignment="1">
      <alignment horizontal="center" vertical="center"/>
    </xf>
    <xf numFmtId="0" fontId="5" fillId="0" borderId="4" xfId="0" quotePrefix="1" applyFont="1" applyBorder="1" applyAlignment="1">
      <alignment horizontal="right" vertical="center"/>
    </xf>
    <xf numFmtId="165"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165" fontId="7" fillId="0" borderId="5" xfId="0" applyNumberFormat="1" applyFont="1" applyBorder="1" applyAlignment="1">
      <alignment horizontal="center" vertical="center"/>
    </xf>
    <xf numFmtId="0" fontId="11" fillId="0" borderId="7" xfId="0" applyFont="1" applyBorder="1" applyAlignment="1">
      <alignment horizontal="center" vertical="center"/>
    </xf>
    <xf numFmtId="0" fontId="35" fillId="0" borderId="0" xfId="0" quotePrefix="1" applyFont="1" applyAlignment="1">
      <alignment horizontal="center" vertical="center"/>
    </xf>
    <xf numFmtId="0" fontId="35" fillId="0" borderId="0" xfId="0" applyFont="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4" xfId="0" applyFont="1" applyBorder="1" applyAlignment="1">
      <alignment horizontal="right" vertical="center"/>
    </xf>
    <xf numFmtId="0" fontId="35" fillId="0" borderId="4" xfId="0" quotePrefix="1" applyFont="1" applyBorder="1" applyAlignment="1">
      <alignment horizontal="center" vertical="center"/>
    </xf>
    <xf numFmtId="0" fontId="35" fillId="0" borderId="4" xfId="0" applyFont="1" applyBorder="1" applyAlignment="1">
      <alignment horizontal="center" vertical="center"/>
    </xf>
    <xf numFmtId="0" fontId="35" fillId="0" borderId="4" xfId="0" applyFont="1" applyBorder="1" applyAlignment="1">
      <alignment vertical="center"/>
    </xf>
    <xf numFmtId="2" fontId="7" fillId="0" borderId="7" xfId="0" applyNumberFormat="1" applyFont="1" applyBorder="1" applyAlignment="1">
      <alignment horizontal="center" vertical="center"/>
    </xf>
    <xf numFmtId="1" fontId="4" fillId="0" borderId="0" xfId="0" applyNumberFormat="1" applyFont="1" applyAlignment="1">
      <alignment horizontal="center" vertical="center"/>
    </xf>
    <xf numFmtId="0" fontId="28" fillId="0" borderId="0" xfId="58" applyFont="1"/>
    <xf numFmtId="0" fontId="37" fillId="0" borderId="0" xfId="60"/>
    <xf numFmtId="0" fontId="37" fillId="0" borderId="0" xfId="60" applyAlignment="1">
      <alignment horizontal="center"/>
    </xf>
    <xf numFmtId="0" fontId="29" fillId="2" borderId="8" xfId="60" applyFont="1" applyFill="1" applyBorder="1" applyAlignment="1">
      <alignment horizontal="center" vertical="top" wrapText="1"/>
    </xf>
    <xf numFmtId="0" fontId="7" fillId="2" borderId="8" xfId="60" applyFont="1" applyFill="1" applyBorder="1" applyAlignment="1">
      <alignment horizontal="center" vertical="top" wrapText="1"/>
    </xf>
    <xf numFmtId="0" fontId="37" fillId="0" borderId="0" xfId="60" applyAlignment="1">
      <alignment horizontal="center" wrapText="1"/>
    </xf>
    <xf numFmtId="0" fontId="28" fillId="3" borderId="8" xfId="60" applyFont="1" applyFill="1" applyBorder="1" applyAlignment="1">
      <alignment horizontal="center" vertical="top" wrapText="1"/>
    </xf>
    <xf numFmtId="0" fontId="28" fillId="2" borderId="8" xfId="60" applyFont="1" applyFill="1" applyBorder="1" applyAlignment="1">
      <alignment horizontal="center" vertical="top" wrapText="1"/>
    </xf>
    <xf numFmtId="0" fontId="28" fillId="3" borderId="8" xfId="60" applyFont="1" applyFill="1" applyBorder="1" applyAlignment="1">
      <alignment horizontal="center" vertical="center" wrapText="1"/>
    </xf>
    <xf numFmtId="0" fontId="7" fillId="4" borderId="8" xfId="60" applyFont="1" applyFill="1" applyBorder="1" applyAlignment="1">
      <alignment horizontal="center" vertical="center" wrapText="1"/>
    </xf>
    <xf numFmtId="0" fontId="29" fillId="4" borderId="8" xfId="60" applyFont="1" applyFill="1" applyBorder="1" applyAlignment="1">
      <alignment horizontal="center" vertical="top" wrapText="1"/>
    </xf>
    <xf numFmtId="0" fontId="29" fillId="4" borderId="8" xfId="60" applyFont="1" applyFill="1" applyBorder="1" applyAlignment="1">
      <alignment horizontal="center" vertical="center" wrapText="1"/>
    </xf>
    <xf numFmtId="0" fontId="44" fillId="0" borderId="0" xfId="60" applyFont="1" applyAlignment="1">
      <alignment horizontal="center" wrapText="1"/>
    </xf>
    <xf numFmtId="0" fontId="28" fillId="0" borderId="0" xfId="60" applyFont="1"/>
    <xf numFmtId="0" fontId="37" fillId="0" borderId="0" xfId="61"/>
    <xf numFmtId="0" fontId="29" fillId="2" borderId="8" xfId="61" applyFont="1" applyFill="1" applyBorder="1" applyAlignment="1">
      <alignment horizontal="center" vertical="top" wrapText="1"/>
    </xf>
    <xf numFmtId="0" fontId="29" fillId="3" borderId="8" xfId="61" applyFont="1" applyFill="1" applyBorder="1" applyAlignment="1">
      <alignment horizontal="center" vertical="top" wrapText="1"/>
    </xf>
    <xf numFmtId="0" fontId="28" fillId="3" borderId="8" xfId="61" applyFont="1" applyFill="1" applyBorder="1" applyAlignment="1">
      <alignment horizontal="center" vertical="top" wrapText="1"/>
    </xf>
    <xf numFmtId="0" fontId="28" fillId="2" borderId="8" xfId="61" applyFont="1" applyFill="1" applyBorder="1" applyAlignment="1">
      <alignment horizontal="center" vertical="top" wrapText="1"/>
    </xf>
    <xf numFmtId="0" fontId="28" fillId="0" borderId="0" xfId="61" applyFont="1" applyAlignment="1">
      <alignment vertical="top" wrapText="1"/>
    </xf>
    <xf numFmtId="0" fontId="37" fillId="5" borderId="0" xfId="61" applyFill="1"/>
    <xf numFmtId="2" fontId="5" fillId="0" borderId="11" xfId="0" applyNumberFormat="1" applyFont="1" applyBorder="1" applyAlignment="1">
      <alignment horizontal="center" vertical="center"/>
    </xf>
    <xf numFmtId="0" fontId="7" fillId="0" borderId="10" xfId="0" applyFont="1" applyBorder="1" applyAlignment="1">
      <alignment horizontal="center" vertical="center"/>
    </xf>
    <xf numFmtId="0" fontId="4" fillId="0" borderId="0" xfId="0" applyFont="1" applyAlignment="1">
      <alignment horizontal="center" vertical="center"/>
    </xf>
    <xf numFmtId="2" fontId="5" fillId="0" borderId="5" xfId="0" applyNumberFormat="1" applyFont="1" applyBorder="1" applyAlignment="1">
      <alignment horizontal="center" vertical="center"/>
    </xf>
    <xf numFmtId="0" fontId="26" fillId="0" borderId="8" xfId="0" applyFont="1" applyBorder="1" applyAlignment="1">
      <alignment horizontal="center"/>
    </xf>
    <xf numFmtId="0" fontId="26" fillId="0" borderId="15" xfId="0" applyFont="1" applyBorder="1" applyAlignment="1">
      <alignment horizontal="center"/>
    </xf>
    <xf numFmtId="2" fontId="26" fillId="0" borderId="8" xfId="0" applyNumberFormat="1" applyFont="1" applyBorder="1" applyAlignment="1">
      <alignment horizontal="center"/>
    </xf>
    <xf numFmtId="2" fontId="26" fillId="0" borderId="15" xfId="0" applyNumberFormat="1" applyFont="1" applyBorder="1" applyAlignment="1">
      <alignment horizontal="center"/>
    </xf>
    <xf numFmtId="0" fontId="36" fillId="0" borderId="0" xfId="0" applyFont="1" applyAlignment="1">
      <alignment horizontal="center" vertical="center"/>
    </xf>
    <xf numFmtId="2" fontId="4" fillId="0" borderId="0" xfId="0" applyNumberFormat="1" applyFont="1" applyAlignment="1">
      <alignment horizontal="center" vertical="center"/>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7" fillId="0" borderId="6" xfId="0" quotePrefix="1" applyFont="1" applyBorder="1" applyAlignment="1">
      <alignment horizontal="center"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49" fontId="7" fillId="0" borderId="9"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4" fillId="0" borderId="4" xfId="0" applyFont="1" applyBorder="1" applyAlignment="1">
      <alignment horizontal="center" vertical="center"/>
    </xf>
    <xf numFmtId="0" fontId="35" fillId="0" borderId="4" xfId="0" applyFont="1" applyBorder="1" applyAlignment="1">
      <alignment horizontal="left" vertical="center"/>
    </xf>
    <xf numFmtId="0" fontId="36" fillId="0" borderId="4" xfId="0" applyFont="1" applyBorder="1" applyAlignment="1">
      <alignment horizontal="center" vertical="center"/>
    </xf>
    <xf numFmtId="0" fontId="7" fillId="0" borderId="0" xfId="0" applyFont="1" applyAlignment="1">
      <alignment horizontal="left" vertical="center" wrapText="1"/>
    </xf>
    <xf numFmtId="0" fontId="7" fillId="0" borderId="6" xfId="0" applyFont="1" applyBorder="1" applyAlignment="1">
      <alignment horizontal="center"/>
    </xf>
    <xf numFmtId="0" fontId="4" fillId="0" borderId="9" xfId="0" applyFont="1" applyBorder="1" applyAlignment="1">
      <alignment horizontal="center" vertical="center"/>
    </xf>
    <xf numFmtId="0" fontId="35" fillId="0" borderId="9" xfId="0" applyFont="1" applyBorder="1" applyAlignment="1">
      <alignment horizontal="left" vertical="center"/>
    </xf>
    <xf numFmtId="0" fontId="35" fillId="0" borderId="9" xfId="0" applyFont="1" applyBorder="1" applyAlignment="1">
      <alignment horizontal="center" vertical="center"/>
    </xf>
    <xf numFmtId="0" fontId="36" fillId="0" borderId="9" xfId="0" applyFont="1" applyBorder="1" applyAlignment="1">
      <alignment horizontal="center" vertical="center"/>
    </xf>
    <xf numFmtId="2" fontId="4" fillId="0" borderId="9" xfId="0" applyNumberFormat="1" applyFont="1" applyBorder="1" applyAlignment="1">
      <alignment horizontal="center" vertical="center"/>
    </xf>
    <xf numFmtId="0" fontId="12" fillId="0" borderId="0" xfId="0" applyFont="1" applyAlignment="1">
      <alignment horizontal="left" vertical="center" wrapText="1"/>
    </xf>
    <xf numFmtId="0" fontId="0" fillId="0" borderId="4" xfId="0" applyBorder="1"/>
    <xf numFmtId="0" fontId="5" fillId="0" borderId="8" xfId="0" applyFont="1" applyBorder="1" applyAlignment="1">
      <alignment horizontal="center" vertical="center"/>
    </xf>
    <xf numFmtId="49" fontId="16" fillId="0" borderId="0" xfId="0" applyNumberFormat="1" applyFont="1" applyAlignment="1">
      <alignment horizontal="center" vertical="center" wrapText="1"/>
    </xf>
    <xf numFmtId="0" fontId="22" fillId="0" borderId="0" xfId="0" applyFont="1" applyAlignment="1">
      <alignment vertical="center"/>
    </xf>
    <xf numFmtId="2" fontId="5" fillId="0" borderId="7" xfId="0" applyNumberFormat="1" applyFont="1" applyBorder="1" applyAlignment="1">
      <alignment horizontal="left" vertical="center"/>
    </xf>
    <xf numFmtId="0" fontId="5" fillId="0" borderId="0" xfId="0" applyFont="1" applyAlignment="1">
      <alignment horizontal="left" vertical="top"/>
    </xf>
    <xf numFmtId="0" fontId="27" fillId="0" borderId="11" xfId="60" applyFont="1" applyBorder="1" applyAlignment="1">
      <alignment vertical="center" wrapText="1"/>
    </xf>
    <xf numFmtId="0" fontId="27" fillId="0" borderId="5" xfId="60" applyFont="1" applyBorder="1" applyAlignment="1">
      <alignment vertical="center" wrapText="1"/>
    </xf>
    <xf numFmtId="0" fontId="7" fillId="0" borderId="3" xfId="0" applyFont="1" applyBorder="1" applyAlignment="1">
      <alignment horizontal="left" vertical="center"/>
    </xf>
    <xf numFmtId="0" fontId="5" fillId="0" borderId="4" xfId="0" applyFont="1" applyBorder="1" applyAlignment="1">
      <alignment horizontal="center" vertical="center" wrapText="1"/>
    </xf>
    <xf numFmtId="0" fontId="8" fillId="0" borderId="0" xfId="0" applyFont="1" applyAlignment="1">
      <alignment horizontal="center" vertical="center"/>
    </xf>
    <xf numFmtId="2" fontId="8" fillId="0" borderId="0" xfId="0" applyNumberFormat="1" applyFont="1" applyAlignment="1">
      <alignment horizontal="center" vertical="center"/>
    </xf>
    <xf numFmtId="0" fontId="9" fillId="0" borderId="0" xfId="0" quotePrefix="1" applyFont="1" applyAlignment="1">
      <alignment horizontal="center" vertical="center"/>
    </xf>
    <xf numFmtId="0" fontId="9" fillId="0" borderId="0" xfId="0" applyFont="1" applyAlignment="1">
      <alignment horizontal="left" vertical="center"/>
    </xf>
    <xf numFmtId="165" fontId="9" fillId="0" borderId="0" xfId="0" applyNumberFormat="1" applyFont="1" applyAlignment="1">
      <alignment horizontal="center" vertical="center"/>
    </xf>
    <xf numFmtId="0" fontId="0" fillId="0" borderId="4" xfId="0" applyBorder="1" applyAlignment="1">
      <alignment horizontal="left" vertical="center"/>
    </xf>
    <xf numFmtId="0" fontId="48" fillId="0" borderId="0" xfId="0" applyFont="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2" fontId="4" fillId="0" borderId="4"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0" fillId="0" borderId="0" xfId="0" applyFont="1" applyAlignment="1">
      <alignment horizontal="left" vertical="center"/>
    </xf>
    <xf numFmtId="0" fontId="6" fillId="0" borderId="0" xfId="0" applyFont="1" applyAlignment="1">
      <alignment vertical="top"/>
    </xf>
    <xf numFmtId="0" fontId="0" fillId="0" borderId="0" xfId="0" applyAlignment="1">
      <alignment horizontal="right" vertical="center"/>
    </xf>
    <xf numFmtId="0" fontId="0" fillId="0" borderId="7" xfId="0" applyBorder="1" applyAlignment="1">
      <alignment horizontal="center" vertical="center"/>
    </xf>
    <xf numFmtId="0" fontId="3" fillId="0" borderId="6"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3" xfId="0" applyFont="1" applyBorder="1" applyAlignment="1">
      <alignment horizontal="left" vertical="center"/>
    </xf>
    <xf numFmtId="1" fontId="9" fillId="0" borderId="0" xfId="0" applyNumberFormat="1" applyFont="1" applyAlignment="1">
      <alignment horizontal="left" vertical="center"/>
    </xf>
    <xf numFmtId="0" fontId="0" fillId="0" borderId="0" xfId="0" applyAlignment="1">
      <alignment vertical="center" wrapText="1"/>
    </xf>
    <xf numFmtId="49" fontId="31" fillId="0" borderId="0" xfId="0" applyNumberFormat="1" applyFont="1" applyAlignment="1">
      <alignment horizontal="left" vertical="center" wrapText="1"/>
    </xf>
    <xf numFmtId="0" fontId="0" fillId="0" borderId="7" xfId="0"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9" xfId="0" applyNumberFormat="1" applyFont="1" applyBorder="1" applyAlignment="1">
      <alignment horizontal="center" vertical="center"/>
    </xf>
    <xf numFmtId="49" fontId="5" fillId="0" borderId="4" xfId="0" applyNumberFormat="1" applyFont="1" applyBorder="1" applyAlignment="1">
      <alignment vertical="center"/>
    </xf>
    <xf numFmtId="165" fontId="5" fillId="0" borderId="4" xfId="0" applyNumberFormat="1" applyFont="1" applyBorder="1" applyAlignment="1">
      <alignment horizontal="center" vertical="center"/>
    </xf>
    <xf numFmtId="0" fontId="5" fillId="0" borderId="4" xfId="0" quotePrefix="1" applyFont="1" applyBorder="1" applyAlignment="1">
      <alignment horizontal="center" vertical="center" wrapText="1"/>
    </xf>
    <xf numFmtId="49" fontId="5" fillId="0" borderId="9" xfId="0" applyNumberFormat="1" applyFont="1" applyBorder="1" applyAlignment="1">
      <alignment vertical="center"/>
    </xf>
    <xf numFmtId="165" fontId="5" fillId="0" borderId="9" xfId="0" applyNumberFormat="1"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left" vertical="center" wrapText="1"/>
    </xf>
    <xf numFmtId="2" fontId="5" fillId="0" borderId="4" xfId="0" applyNumberFormat="1" applyFont="1" applyBorder="1" applyAlignment="1">
      <alignment horizontal="center" vertical="center"/>
    </xf>
    <xf numFmtId="0" fontId="5" fillId="0" borderId="10" xfId="0" quotePrefix="1" applyFont="1" applyBorder="1" applyAlignment="1">
      <alignment horizontal="center"/>
    </xf>
    <xf numFmtId="0" fontId="5" fillId="0" borderId="10" xfId="0" quotePrefix="1" applyFont="1" applyBorder="1" applyAlignment="1">
      <alignment vertical="center"/>
    </xf>
    <xf numFmtId="0" fontId="5" fillId="0" borderId="10" xfId="0" quotePrefix="1" applyFont="1" applyBorder="1"/>
    <xf numFmtId="0" fontId="25" fillId="0" borderId="0" xfId="0" applyFont="1" applyAlignment="1">
      <alignment horizontal="center"/>
    </xf>
    <xf numFmtId="0" fontId="25" fillId="0" borderId="0" xfId="0" applyFont="1" applyAlignment="1">
      <alignment horizontal="center" vertical="center" wrapText="1"/>
    </xf>
    <xf numFmtId="0" fontId="5" fillId="2" borderId="0" xfId="0" applyFont="1" applyFill="1" applyAlignment="1">
      <alignment horizontal="center" vertical="center"/>
    </xf>
    <xf numFmtId="165" fontId="8" fillId="0" borderId="0" xfId="0" applyNumberFormat="1" applyFont="1" applyAlignment="1">
      <alignment horizontal="center" vertical="center"/>
    </xf>
    <xf numFmtId="0" fontId="53" fillId="0" borderId="0" xfId="0" applyFont="1" applyAlignment="1">
      <alignment horizontal="center" vertical="center"/>
    </xf>
    <xf numFmtId="0" fontId="90" fillId="0" borderId="0" xfId="46"/>
    <xf numFmtId="1" fontId="5" fillId="0" borderId="0" xfId="0" applyNumberFormat="1" applyFont="1" applyAlignment="1">
      <alignment horizontal="center"/>
    </xf>
    <xf numFmtId="16" fontId="57" fillId="3" borderId="0" xfId="0" quotePrefix="1" applyNumberFormat="1" applyFont="1" applyFill="1" applyAlignment="1">
      <alignment horizontal="center"/>
    </xf>
    <xf numFmtId="0" fontId="57" fillId="3" borderId="0" xfId="0" quotePrefix="1"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center" wrapText="1"/>
    </xf>
    <xf numFmtId="2" fontId="5" fillId="2" borderId="0" xfId="0" applyNumberFormat="1" applyFont="1" applyFill="1" applyAlignment="1">
      <alignment horizontal="center" wrapText="1"/>
    </xf>
    <xf numFmtId="0" fontId="5" fillId="6" borderId="0" xfId="0" applyFont="1" applyFill="1"/>
    <xf numFmtId="0" fontId="5" fillId="0" borderId="17" xfId="0" applyFont="1" applyBorder="1" applyAlignment="1">
      <alignment vertical="center"/>
    </xf>
    <xf numFmtId="0" fontId="5" fillId="0" borderId="0" xfId="10" applyFont="1"/>
    <xf numFmtId="0" fontId="5" fillId="0" borderId="0" xfId="10" applyFont="1" applyAlignment="1">
      <alignment horizontal="left"/>
    </xf>
    <xf numFmtId="0" fontId="7" fillId="0" borderId="0" xfId="10" applyFont="1"/>
    <xf numFmtId="49" fontId="7" fillId="0" borderId="0" xfId="10" applyNumberFormat="1" applyFont="1"/>
    <xf numFmtId="2" fontId="5" fillId="0" borderId="0" xfId="10" applyNumberFormat="1" applyFont="1" applyAlignment="1">
      <alignment horizontal="center" vertical="center"/>
    </xf>
    <xf numFmtId="2" fontId="7" fillId="0" borderId="0" xfId="10" applyNumberFormat="1" applyFont="1" applyAlignment="1">
      <alignment horizontal="center" vertical="center"/>
    </xf>
    <xf numFmtId="0" fontId="5" fillId="0" borderId="2" xfId="10" applyFont="1" applyBorder="1" applyAlignment="1">
      <alignment horizontal="left" vertical="center"/>
    </xf>
    <xf numFmtId="0" fontId="5" fillId="0" borderId="2" xfId="10" applyFont="1" applyBorder="1" applyAlignment="1">
      <alignment horizontal="center" vertical="center"/>
    </xf>
    <xf numFmtId="0" fontId="5" fillId="0" borderId="0" xfId="10" applyFont="1" applyAlignment="1">
      <alignment horizontal="left" vertical="center"/>
    </xf>
    <xf numFmtId="168" fontId="7" fillId="0" borderId="0" xfId="10" applyNumberFormat="1" applyFont="1" applyAlignment="1">
      <alignment horizontal="center" vertical="center"/>
    </xf>
    <xf numFmtId="0" fontId="5" fillId="0" borderId="0" xfId="10" applyFont="1" applyAlignment="1">
      <alignment horizontal="center" vertical="center"/>
    </xf>
    <xf numFmtId="1" fontId="7" fillId="0" borderId="0" xfId="10" applyNumberFormat="1" applyFont="1" applyAlignment="1">
      <alignment horizontal="center" vertical="center"/>
    </xf>
    <xf numFmtId="49" fontId="5" fillId="0" borderId="0" xfId="10" applyNumberFormat="1" applyFont="1" applyAlignment="1">
      <alignment vertical="center"/>
    </xf>
    <xf numFmtId="0" fontId="7" fillId="0" borderId="0" xfId="10" applyFont="1" applyAlignment="1">
      <alignment horizontal="left" vertical="center"/>
    </xf>
    <xf numFmtId="0" fontId="7" fillId="0" borderId="0" xfId="10" applyFont="1" applyAlignment="1">
      <alignment horizontal="center" vertical="center"/>
    </xf>
    <xf numFmtId="0" fontId="15" fillId="0" borderId="0" xfId="10" applyAlignment="1">
      <alignment horizontal="center" vertical="center"/>
    </xf>
    <xf numFmtId="165" fontId="5" fillId="0" borderId="0" xfId="10" applyNumberFormat="1" applyFont="1" applyAlignment="1">
      <alignment horizontal="center" vertical="center"/>
    </xf>
    <xf numFmtId="0" fontId="5" fillId="0" borderId="0" xfId="10" applyFont="1" applyAlignment="1">
      <alignment horizontal="center"/>
    </xf>
    <xf numFmtId="168" fontId="7" fillId="0" borderId="2" xfId="10" applyNumberFormat="1" applyFont="1" applyBorder="1" applyAlignment="1">
      <alignment horizontal="center" vertical="center"/>
    </xf>
    <xf numFmtId="49" fontId="7" fillId="0" borderId="2" xfId="10" applyNumberFormat="1" applyFont="1" applyBorder="1" applyAlignment="1">
      <alignment vertical="center"/>
    </xf>
    <xf numFmtId="49" fontId="7" fillId="0" borderId="0" xfId="10" applyNumberFormat="1" applyFont="1" applyAlignment="1">
      <alignment vertical="center"/>
    </xf>
    <xf numFmtId="0" fontId="5" fillId="0" borderId="0" xfId="10" applyFont="1" applyAlignment="1">
      <alignment vertical="center"/>
    </xf>
    <xf numFmtId="169" fontId="7" fillId="0" borderId="0" xfId="10" applyNumberFormat="1" applyFont="1" applyAlignment="1">
      <alignment horizontal="center" vertical="center"/>
    </xf>
    <xf numFmtId="49" fontId="7" fillId="0" borderId="0" xfId="10" applyNumberFormat="1" applyFont="1" applyAlignment="1">
      <alignment horizontal="left" vertical="center"/>
    </xf>
    <xf numFmtId="169" fontId="5" fillId="0" borderId="0" xfId="10" applyNumberFormat="1" applyFont="1" applyAlignment="1">
      <alignment horizontal="left" vertical="center"/>
    </xf>
    <xf numFmtId="49" fontId="5" fillId="0" borderId="0" xfId="10" applyNumberFormat="1" applyFont="1" applyAlignment="1">
      <alignment horizontal="left" vertical="center" wrapText="1"/>
    </xf>
    <xf numFmtId="168" fontId="5" fillId="0" borderId="0" xfId="10" applyNumberFormat="1" applyFont="1" applyAlignment="1">
      <alignment horizontal="center" vertical="center"/>
    </xf>
    <xf numFmtId="169" fontId="5" fillId="0" borderId="0" xfId="10" applyNumberFormat="1" applyFont="1" applyAlignment="1">
      <alignment horizontal="center" vertical="center"/>
    </xf>
    <xf numFmtId="0" fontId="5" fillId="0" borderId="6" xfId="10" applyFont="1" applyBorder="1" applyAlignment="1">
      <alignment horizontal="center" vertical="center"/>
    </xf>
    <xf numFmtId="49" fontId="5" fillId="0" borderId="0" xfId="10" applyNumberFormat="1" applyFont="1" applyAlignment="1">
      <alignment horizontal="left" vertical="center"/>
    </xf>
    <xf numFmtId="49" fontId="7" fillId="0" borderId="0" xfId="10" applyNumberFormat="1" applyFont="1" applyAlignment="1">
      <alignment horizontal="center" vertical="center"/>
    </xf>
    <xf numFmtId="49" fontId="5" fillId="0" borderId="0" xfId="10" applyNumberFormat="1" applyFont="1" applyAlignment="1">
      <alignment horizontal="center" vertical="center"/>
    </xf>
    <xf numFmtId="2" fontId="5" fillId="0" borderId="0" xfId="10" applyNumberFormat="1" applyFont="1" applyAlignment="1">
      <alignment horizontal="left" vertical="center" wrapText="1"/>
    </xf>
    <xf numFmtId="168" fontId="5" fillId="0" borderId="0" xfId="10" applyNumberFormat="1" applyFont="1" applyAlignment="1">
      <alignment horizontal="right" vertical="center"/>
    </xf>
    <xf numFmtId="0" fontId="7" fillId="0" borderId="0" xfId="10" applyFont="1" applyAlignment="1">
      <alignment vertical="center"/>
    </xf>
    <xf numFmtId="0" fontId="7" fillId="0" borderId="18" xfId="10" applyFont="1" applyBorder="1" applyAlignment="1">
      <alignment horizontal="left" vertical="center"/>
    </xf>
    <xf numFmtId="49" fontId="7" fillId="0" borderId="19" xfId="10" applyNumberFormat="1" applyFont="1" applyBorder="1" applyAlignment="1">
      <alignment vertical="center"/>
    </xf>
    <xf numFmtId="49" fontId="7" fillId="0" borderId="20" xfId="10" applyNumberFormat="1" applyFont="1" applyBorder="1" applyAlignment="1">
      <alignment vertical="center"/>
    </xf>
    <xf numFmtId="0" fontId="5" fillId="0" borderId="0" xfId="10" applyFont="1" applyAlignment="1">
      <alignment horizontal="right" vertical="center"/>
    </xf>
    <xf numFmtId="0" fontId="5" fillId="0" borderId="6" xfId="10" applyFont="1" applyBorder="1" applyAlignment="1">
      <alignment horizontal="left" vertical="center"/>
    </xf>
    <xf numFmtId="0" fontId="5" fillId="0" borderId="0" xfId="10" applyFont="1" applyAlignment="1">
      <alignment horizontal="left" vertical="center" wrapText="1"/>
    </xf>
    <xf numFmtId="0" fontId="5" fillId="0" borderId="0" xfId="10" applyFont="1" applyAlignment="1">
      <alignment horizontal="center" vertical="center" wrapText="1"/>
    </xf>
    <xf numFmtId="0" fontId="7" fillId="0" borderId="0" xfId="10" applyFont="1" applyAlignment="1">
      <alignment horizontal="center" vertical="center" wrapText="1"/>
    </xf>
    <xf numFmtId="2" fontId="7" fillId="0" borderId="0" xfId="10" applyNumberFormat="1" applyFont="1" applyAlignment="1">
      <alignment horizontal="left" vertical="center"/>
    </xf>
    <xf numFmtId="165" fontId="7" fillId="0" borderId="0" xfId="10" applyNumberFormat="1" applyFont="1" applyAlignment="1">
      <alignment horizontal="center" vertical="center"/>
    </xf>
    <xf numFmtId="49" fontId="7" fillId="0" borderId="0" xfId="10" applyNumberFormat="1" applyFont="1" applyAlignment="1">
      <alignment horizontal="center" vertical="center" wrapText="1"/>
    </xf>
    <xf numFmtId="49" fontId="7" fillId="0" borderId="0" xfId="10" applyNumberFormat="1" applyFont="1" applyAlignment="1">
      <alignment horizontal="left" vertical="center" wrapText="1"/>
    </xf>
    <xf numFmtId="49" fontId="23" fillId="0" borderId="2" xfId="10" applyNumberFormat="1" applyFont="1" applyBorder="1" applyAlignment="1">
      <alignment horizontal="center" vertical="center" wrapText="1"/>
    </xf>
    <xf numFmtId="49" fontId="23" fillId="0" borderId="0" xfId="10" applyNumberFormat="1" applyFont="1" applyAlignment="1">
      <alignment horizontal="center" vertical="center" wrapText="1"/>
    </xf>
    <xf numFmtId="168" fontId="5" fillId="0" borderId="0" xfId="10" applyNumberFormat="1" applyFont="1" applyAlignment="1">
      <alignment horizontal="left" vertical="center"/>
    </xf>
    <xf numFmtId="49" fontId="5" fillId="0" borderId="0" xfId="10" applyNumberFormat="1" applyFont="1" applyAlignment="1">
      <alignment horizontal="right" vertical="center"/>
    </xf>
    <xf numFmtId="0" fontId="5" fillId="0" borderId="21" xfId="10" applyFont="1" applyBorder="1" applyAlignment="1">
      <alignment vertical="center"/>
    </xf>
    <xf numFmtId="0" fontId="7" fillId="0" borderId="2" xfId="10" applyFont="1" applyBorder="1" applyAlignment="1">
      <alignment horizontal="left" vertical="center"/>
    </xf>
    <xf numFmtId="0" fontId="5" fillId="0" borderId="2" xfId="10" applyFont="1" applyBorder="1" applyAlignment="1">
      <alignment vertical="center"/>
    </xf>
    <xf numFmtId="0" fontId="7" fillId="0" borderId="2" xfId="10" applyFont="1" applyBorder="1" applyAlignment="1">
      <alignment vertical="center"/>
    </xf>
    <xf numFmtId="0" fontId="5" fillId="0" borderId="19" xfId="10" applyFont="1" applyBorder="1" applyAlignment="1">
      <alignment vertical="center"/>
    </xf>
    <xf numFmtId="0" fontId="5" fillId="0" borderId="1" xfId="10" applyFont="1" applyBorder="1" applyAlignment="1">
      <alignment vertical="center"/>
    </xf>
    <xf numFmtId="0" fontId="5" fillId="0" borderId="20" xfId="10" applyFont="1" applyBorder="1" applyAlignment="1">
      <alignment vertical="center"/>
    </xf>
    <xf numFmtId="1" fontId="5" fillId="0" borderId="0" xfId="10" applyNumberFormat="1" applyFont="1" applyAlignment="1">
      <alignment horizontal="center" vertical="center"/>
    </xf>
    <xf numFmtId="0" fontId="6" fillId="0" borderId="0" xfId="10" applyFont="1" applyAlignment="1">
      <alignment vertical="center"/>
    </xf>
    <xf numFmtId="0" fontId="5" fillId="0" borderId="20" xfId="10" applyFont="1" applyBorder="1" applyAlignment="1">
      <alignment horizontal="center" vertical="center"/>
    </xf>
    <xf numFmtId="0" fontId="7" fillId="0" borderId="0" xfId="10" applyFont="1" applyAlignment="1">
      <alignment horizontal="center"/>
    </xf>
    <xf numFmtId="0" fontId="19" fillId="0" borderId="0" xfId="10" applyFont="1" applyAlignment="1">
      <alignment horizontal="center" vertical="center"/>
    </xf>
    <xf numFmtId="0" fontId="7" fillId="0" borderId="0" xfId="10" quotePrefix="1" applyFont="1" applyAlignment="1">
      <alignment horizontal="center" vertical="center"/>
    </xf>
    <xf numFmtId="0" fontId="7" fillId="0" borderId="0" xfId="10" applyFont="1" applyAlignment="1">
      <alignment horizontal="right" vertical="center"/>
    </xf>
    <xf numFmtId="0" fontId="5" fillId="0" borderId="0" xfId="10" applyFont="1" applyAlignment="1">
      <alignment vertical="top"/>
    </xf>
    <xf numFmtId="0" fontId="5" fillId="0" borderId="0" xfId="10" quotePrefix="1" applyFont="1" applyAlignment="1">
      <alignment horizontal="center"/>
    </xf>
    <xf numFmtId="0" fontId="6" fillId="0" borderId="0" xfId="10" applyFont="1"/>
    <xf numFmtId="0" fontId="5" fillId="0" borderId="1" xfId="10" applyFont="1" applyBorder="1" applyAlignment="1">
      <alignment horizontal="center" vertical="center"/>
    </xf>
    <xf numFmtId="49" fontId="5" fillId="0" borderId="0" xfId="10" applyNumberFormat="1" applyFont="1" applyAlignment="1">
      <alignment vertical="center" wrapText="1"/>
    </xf>
    <xf numFmtId="169" fontId="8" fillId="0" borderId="0" xfId="10" applyNumberFormat="1" applyFont="1" applyAlignment="1">
      <alignment vertical="center"/>
    </xf>
    <xf numFmtId="168" fontId="8" fillId="0" borderId="0" xfId="10" applyNumberFormat="1" applyFont="1" applyAlignment="1">
      <alignment vertical="center"/>
    </xf>
    <xf numFmtId="2" fontId="8" fillId="0" borderId="0" xfId="10" applyNumberFormat="1" applyFont="1" applyAlignment="1">
      <alignment vertical="center"/>
    </xf>
    <xf numFmtId="0" fontId="8" fillId="0" borderId="0" xfId="10" applyFont="1" applyAlignment="1">
      <alignment vertical="center"/>
    </xf>
    <xf numFmtId="168" fontId="8" fillId="0" borderId="0" xfId="10" applyNumberFormat="1" applyFont="1" applyAlignment="1">
      <alignment horizontal="center" vertical="center"/>
    </xf>
    <xf numFmtId="49" fontId="7" fillId="0" borderId="0" xfId="10" applyNumberFormat="1" applyFont="1" applyAlignment="1">
      <alignment horizontal="right" vertical="center"/>
    </xf>
    <xf numFmtId="0" fontId="9" fillId="0" borderId="0" xfId="10" applyFont="1" applyAlignment="1">
      <alignment horizontal="center" vertical="center"/>
    </xf>
    <xf numFmtId="49" fontId="9" fillId="0" borderId="0" xfId="10" applyNumberFormat="1" applyFont="1" applyAlignment="1">
      <alignment horizontal="center" vertical="center" wrapText="1"/>
    </xf>
    <xf numFmtId="169" fontId="9" fillId="0" borderId="0" xfId="10" applyNumberFormat="1" applyFont="1" applyAlignment="1">
      <alignment horizontal="center" vertical="center"/>
    </xf>
    <xf numFmtId="165" fontId="8" fillId="0" borderId="17" xfId="10" applyNumberFormat="1" applyFont="1" applyBorder="1" applyAlignment="1">
      <alignment horizontal="center" vertical="center"/>
    </xf>
    <xf numFmtId="165" fontId="8" fillId="0" borderId="4" xfId="10" applyNumberFormat="1" applyFont="1" applyBorder="1" applyAlignment="1">
      <alignment horizontal="center" vertical="center"/>
    </xf>
    <xf numFmtId="0" fontId="5" fillId="0" borderId="5" xfId="10" applyFont="1" applyBorder="1" applyAlignment="1">
      <alignment horizontal="left" vertical="center"/>
    </xf>
    <xf numFmtId="168" fontId="5" fillId="0" borderId="4" xfId="10" applyNumberFormat="1" applyFont="1" applyBorder="1" applyAlignment="1">
      <alignment horizontal="left" vertical="center"/>
    </xf>
    <xf numFmtId="0" fontId="5" fillId="0" borderId="4" xfId="10" applyFont="1" applyBorder="1" applyAlignment="1">
      <alignment horizontal="center" vertical="center"/>
    </xf>
    <xf numFmtId="0" fontId="5" fillId="0" borderId="3" xfId="10" applyFont="1" applyBorder="1" applyAlignment="1">
      <alignment vertical="center"/>
    </xf>
    <xf numFmtId="0" fontId="5" fillId="0" borderId="7" xfId="10" applyFont="1" applyBorder="1"/>
    <xf numFmtId="0" fontId="6" fillId="0" borderId="6" xfId="10" applyFont="1" applyBorder="1" applyAlignment="1">
      <alignment vertical="center"/>
    </xf>
    <xf numFmtId="0" fontId="5" fillId="0" borderId="7" xfId="10" applyFont="1" applyBorder="1" applyAlignment="1">
      <alignment horizontal="left" vertical="center"/>
    </xf>
    <xf numFmtId="0" fontId="5" fillId="0" borderId="6" xfId="10" applyFont="1" applyBorder="1" applyAlignment="1">
      <alignment vertical="center"/>
    </xf>
    <xf numFmtId="0" fontId="5" fillId="0" borderId="0" xfId="51" applyFont="1" applyAlignment="1">
      <alignment vertical="center"/>
    </xf>
    <xf numFmtId="0" fontId="5" fillId="0" borderId="7" xfId="51" applyFont="1" applyBorder="1" applyAlignment="1">
      <alignment horizontal="left" vertical="center"/>
    </xf>
    <xf numFmtId="0" fontId="6" fillId="0" borderId="6" xfId="51" applyFont="1" applyBorder="1" applyAlignment="1">
      <alignment vertical="center"/>
    </xf>
    <xf numFmtId="0" fontId="5" fillId="0" borderId="4" xfId="10" applyFont="1" applyBorder="1" applyAlignment="1">
      <alignment vertical="center"/>
    </xf>
    <xf numFmtId="49" fontId="7" fillId="0" borderId="22" xfId="10" applyNumberFormat="1" applyFont="1" applyBorder="1" applyAlignment="1">
      <alignment vertical="center"/>
    </xf>
    <xf numFmtId="0" fontId="7" fillId="0" borderId="18" xfId="10" applyFont="1" applyBorder="1" applyAlignment="1">
      <alignment vertical="center"/>
    </xf>
    <xf numFmtId="0" fontId="5" fillId="0" borderId="18" xfId="10" applyFont="1" applyBorder="1" applyAlignment="1">
      <alignment vertical="center"/>
    </xf>
    <xf numFmtId="0" fontId="5" fillId="0" borderId="18" xfId="10" applyFont="1" applyBorder="1" applyAlignment="1">
      <alignment horizontal="left" vertical="center"/>
    </xf>
    <xf numFmtId="0" fontId="5" fillId="0" borderId="23" xfId="10" applyFont="1" applyBorder="1" applyAlignment="1">
      <alignment vertical="center"/>
    </xf>
    <xf numFmtId="165" fontId="8" fillId="0" borderId="2" xfId="10" applyNumberFormat="1" applyFont="1" applyBorder="1" applyAlignment="1">
      <alignment horizontal="center" vertical="center"/>
    </xf>
    <xf numFmtId="165" fontId="5" fillId="0" borderId="2" xfId="10" applyNumberFormat="1" applyFont="1" applyBorder="1" applyAlignment="1">
      <alignment horizontal="center" vertical="center"/>
    </xf>
    <xf numFmtId="0" fontId="6" fillId="0" borderId="2" xfId="10" applyFont="1" applyBorder="1" applyAlignment="1">
      <alignment vertical="center"/>
    </xf>
    <xf numFmtId="167" fontId="8" fillId="0" borderId="0" xfId="0" applyNumberFormat="1" applyFont="1" applyAlignment="1">
      <alignment horizontal="center" vertical="center"/>
    </xf>
    <xf numFmtId="0" fontId="5" fillId="0" borderId="0" xfId="0" applyFont="1" applyProtection="1">
      <protection hidden="1"/>
    </xf>
    <xf numFmtId="0" fontId="61" fillId="0" borderId="0" xfId="0" applyFont="1"/>
    <xf numFmtId="2" fontId="33" fillId="3" borderId="0" xfId="0" applyNumberFormat="1" applyFont="1" applyFill="1"/>
    <xf numFmtId="165" fontId="64" fillId="0" borderId="8" xfId="46" applyNumberFormat="1" applyFont="1" applyBorder="1" applyAlignment="1">
      <alignment horizontal="center" vertical="center"/>
    </xf>
    <xf numFmtId="2" fontId="64" fillId="0" borderId="8" xfId="46" applyNumberFormat="1" applyFont="1" applyBorder="1" applyAlignment="1">
      <alignment horizontal="center" vertical="center"/>
    </xf>
    <xf numFmtId="0" fontId="3" fillId="0" borderId="0" xfId="23"/>
    <xf numFmtId="0" fontId="7" fillId="2" borderId="17" xfId="0" applyFont="1" applyFill="1" applyBorder="1"/>
    <xf numFmtId="0" fontId="5" fillId="2" borderId="17" xfId="0" applyFont="1" applyFill="1" applyBorder="1"/>
    <xf numFmtId="0" fontId="7" fillId="2" borderId="17" xfId="0" applyFont="1" applyFill="1" applyBorder="1" applyAlignment="1">
      <alignment horizontal="left" vertical="center"/>
    </xf>
    <xf numFmtId="0" fontId="5" fillId="2" borderId="25" xfId="0" applyFont="1" applyFill="1" applyBorder="1"/>
    <xf numFmtId="0" fontId="7" fillId="2" borderId="25" xfId="10" applyFont="1" applyFill="1" applyBorder="1" applyAlignment="1">
      <alignment horizontal="left" vertical="center"/>
    </xf>
    <xf numFmtId="0" fontId="7" fillId="2" borderId="26" xfId="10" applyFont="1" applyFill="1" applyBorder="1" applyAlignment="1">
      <alignment horizontal="left" vertical="center"/>
    </xf>
    <xf numFmtId="49" fontId="7" fillId="2" borderId="27" xfId="10" applyNumberFormat="1" applyFont="1" applyFill="1" applyBorder="1" applyAlignment="1">
      <alignment horizontal="left" vertical="center"/>
    </xf>
    <xf numFmtId="0" fontId="7" fillId="2" borderId="16" xfId="10" applyFont="1" applyFill="1" applyBorder="1" applyAlignment="1">
      <alignment vertical="center"/>
    </xf>
    <xf numFmtId="0" fontId="5" fillId="2" borderId="17" xfId="10" applyFont="1" applyFill="1" applyBorder="1" applyAlignment="1">
      <alignment vertical="center"/>
    </xf>
    <xf numFmtId="0" fontId="5" fillId="2" borderId="13" xfId="10" applyFont="1" applyFill="1" applyBorder="1" applyAlignment="1">
      <alignment horizontal="left" vertical="center"/>
    </xf>
    <xf numFmtId="165" fontId="8" fillId="2" borderId="17" xfId="10" applyNumberFormat="1" applyFont="1" applyFill="1" applyBorder="1" applyAlignment="1">
      <alignment horizontal="center" vertical="center"/>
    </xf>
    <xf numFmtId="0" fontId="5" fillId="2" borderId="17" xfId="10" applyFont="1" applyFill="1" applyBorder="1" applyAlignment="1">
      <alignment horizontal="center" vertical="center"/>
    </xf>
    <xf numFmtId="168" fontId="5" fillId="2" borderId="17" xfId="10" applyNumberFormat="1" applyFont="1" applyFill="1" applyBorder="1" applyAlignment="1">
      <alignment horizontal="left" vertical="center"/>
    </xf>
    <xf numFmtId="49" fontId="5" fillId="2" borderId="25" xfId="0" applyNumberFormat="1" applyFont="1" applyFill="1" applyBorder="1" applyAlignment="1">
      <alignment horizontal="left" vertical="center"/>
    </xf>
    <xf numFmtId="0" fontId="33" fillId="3" borderId="0" xfId="0" applyFont="1" applyFill="1" applyAlignment="1">
      <alignment horizontal="left" vertical="center"/>
    </xf>
    <xf numFmtId="0" fontId="33" fillId="3" borderId="0" xfId="0" applyFont="1" applyFill="1"/>
    <xf numFmtId="49" fontId="7" fillId="2" borderId="16" xfId="0" applyNumberFormat="1" applyFont="1" applyFill="1" applyBorder="1" applyAlignment="1">
      <alignment vertical="center" wrapText="1"/>
    </xf>
    <xf numFmtId="49" fontId="7" fillId="2" borderId="17" xfId="0" applyNumberFormat="1" applyFont="1" applyFill="1" applyBorder="1" applyAlignment="1">
      <alignment vertical="center" wrapText="1"/>
    </xf>
    <xf numFmtId="49" fontId="7" fillId="2" borderId="17" xfId="0" applyNumberFormat="1" applyFont="1" applyFill="1" applyBorder="1" applyAlignment="1">
      <alignment vertical="center"/>
    </xf>
    <xf numFmtId="0" fontId="5" fillId="2" borderId="13" xfId="0" applyFont="1" applyFill="1" applyBorder="1" applyAlignment="1">
      <alignment horizontal="right" vertical="center"/>
    </xf>
    <xf numFmtId="174" fontId="7" fillId="0" borderId="0" xfId="0" applyNumberFormat="1" applyFont="1" applyAlignment="1" applyProtection="1">
      <alignment horizontal="center" vertical="center"/>
      <protection hidden="1"/>
    </xf>
    <xf numFmtId="0" fontId="5" fillId="0" borderId="0" xfId="0" applyFont="1" applyAlignment="1">
      <alignment vertical="center" wrapText="1"/>
    </xf>
    <xf numFmtId="0" fontId="65" fillId="0" borderId="0" xfId="0" applyFont="1" applyProtection="1">
      <protection hidden="1"/>
    </xf>
    <xf numFmtId="0" fontId="5" fillId="0" borderId="16" xfId="0" applyFont="1" applyBorder="1"/>
    <xf numFmtId="0" fontId="5" fillId="0" borderId="17" xfId="0" applyFont="1" applyBorder="1"/>
    <xf numFmtId="0" fontId="5" fillId="0" borderId="13" xfId="0" applyFont="1" applyBorder="1"/>
    <xf numFmtId="0" fontId="42" fillId="0" borderId="0" xfId="0" applyFont="1" applyAlignment="1">
      <alignment vertical="center"/>
    </xf>
    <xf numFmtId="0" fontId="6" fillId="0" borderId="0" xfId="0" applyFont="1" applyAlignment="1">
      <alignment vertical="center" wrapText="1"/>
    </xf>
    <xf numFmtId="0" fontId="42" fillId="0" borderId="0" xfId="0" applyFont="1" applyAlignment="1">
      <alignment vertical="center" wrapText="1"/>
    </xf>
    <xf numFmtId="2" fontId="5" fillId="0" borderId="0" xfId="0" applyNumberFormat="1" applyFont="1" applyAlignment="1">
      <alignment vertical="center"/>
    </xf>
    <xf numFmtId="0" fontId="0" fillId="0" borderId="5" xfId="0" applyBorder="1" applyAlignment="1">
      <alignment horizontal="center" vertical="center"/>
    </xf>
    <xf numFmtId="0" fontId="53" fillId="0" borderId="17" xfId="0" applyFont="1" applyBorder="1" applyAlignment="1">
      <alignment horizontal="center" vertical="center"/>
    </xf>
    <xf numFmtId="0" fontId="53" fillId="0" borderId="13" xfId="0" applyFont="1" applyBorder="1" applyAlignment="1">
      <alignment horizontal="center" vertical="center"/>
    </xf>
    <xf numFmtId="167" fontId="5" fillId="0" borderId="0" xfId="0" applyNumberFormat="1" applyFont="1" applyAlignment="1">
      <alignment horizontal="left" vertical="center"/>
    </xf>
    <xf numFmtId="167" fontId="5" fillId="0" borderId="0" xfId="0" applyNumberFormat="1" applyFont="1" applyAlignment="1">
      <alignment horizontal="center" vertical="center"/>
    </xf>
    <xf numFmtId="0" fontId="66" fillId="0" borderId="0" xfId="0" applyFont="1" applyAlignment="1">
      <alignment horizontal="left" vertical="center"/>
    </xf>
    <xf numFmtId="0" fontId="5" fillId="3" borderId="0" xfId="0" applyFont="1" applyFill="1" applyAlignment="1">
      <alignment horizontal="center" vertical="center"/>
    </xf>
    <xf numFmtId="2" fontId="5" fillId="3" borderId="0" xfId="0" applyNumberFormat="1"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xf numFmtId="49" fontId="7" fillId="2" borderId="27" xfId="10" applyNumberFormat="1" applyFont="1" applyFill="1" applyBorder="1" applyAlignment="1">
      <alignment horizontal="center" vertical="center"/>
    </xf>
    <xf numFmtId="0" fontId="65" fillId="0" borderId="0" xfId="10" applyFont="1" applyAlignment="1">
      <alignment vertical="center"/>
    </xf>
    <xf numFmtId="0" fontId="65" fillId="0" borderId="18" xfId="10" applyFont="1" applyBorder="1" applyAlignment="1">
      <alignment vertical="center"/>
    </xf>
    <xf numFmtId="0" fontId="13" fillId="0" borderId="0" xfId="10" applyFont="1" applyAlignment="1">
      <alignment horizontal="center" vertical="center" wrapText="1"/>
    </xf>
    <xf numFmtId="49" fontId="5" fillId="0" borderId="6"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174" fontId="33" fillId="0" borderId="0" xfId="0" applyNumberFormat="1" applyFont="1" applyAlignment="1" applyProtection="1">
      <alignment horizontal="left" vertical="center" wrapText="1"/>
      <protection locked="0" hidden="1"/>
    </xf>
    <xf numFmtId="49" fontId="5" fillId="0" borderId="7" xfId="0" applyNumberFormat="1" applyFont="1" applyBorder="1" applyAlignment="1">
      <alignment horizontal="left" vertical="center" wrapText="1"/>
    </xf>
    <xf numFmtId="0" fontId="8" fillId="0" borderId="16" xfId="0" applyFont="1" applyBorder="1" applyAlignment="1">
      <alignment horizontal="left" vertical="center"/>
    </xf>
    <xf numFmtId="0" fontId="5" fillId="0" borderId="10" xfId="0" applyFont="1" applyBorder="1" applyAlignment="1">
      <alignment horizontal="left" vertical="center"/>
    </xf>
    <xf numFmtId="0" fontId="7" fillId="0" borderId="9" xfId="0" applyFont="1" applyBorder="1" applyAlignment="1">
      <alignment horizontal="center" vertical="center" wrapText="1"/>
    </xf>
    <xf numFmtId="0" fontId="5" fillId="3" borderId="0" xfId="0" applyFont="1" applyFill="1" applyAlignment="1">
      <alignment horizontal="center"/>
    </xf>
    <xf numFmtId="0" fontId="68" fillId="0" borderId="0" xfId="0" applyFont="1" applyAlignment="1">
      <alignment horizontal="left" vertical="center"/>
    </xf>
    <xf numFmtId="49" fontId="31" fillId="0" borderId="0" xfId="0" applyNumberFormat="1" applyFont="1" applyAlignment="1" applyProtection="1">
      <alignment horizontal="left" vertical="center" wrapText="1"/>
      <protection locked="0"/>
    </xf>
    <xf numFmtId="0" fontId="28" fillId="0" borderId="8" xfId="46" applyFont="1" applyBorder="1" applyAlignment="1">
      <alignment horizontal="center" vertical="center" wrapText="1"/>
    </xf>
    <xf numFmtId="0" fontId="5" fillId="0" borderId="20" xfId="0" applyFont="1" applyBorder="1"/>
    <xf numFmtId="0" fontId="5" fillId="0" borderId="20" xfId="0" applyFont="1" applyBorder="1" applyAlignment="1">
      <alignment horizontal="left" vertical="center"/>
    </xf>
    <xf numFmtId="0" fontId="5" fillId="0" borderId="1" xfId="0" applyFont="1" applyBorder="1" applyAlignment="1">
      <alignment horizontal="left" vertical="center"/>
    </xf>
    <xf numFmtId="0" fontId="57" fillId="0" borderId="0" xfId="0" applyFont="1" applyAlignment="1">
      <alignment vertical="center"/>
    </xf>
    <xf numFmtId="0" fontId="33" fillId="0" borderId="0" xfId="0" applyFont="1"/>
    <xf numFmtId="1" fontId="33" fillId="0" borderId="0" xfId="0" applyNumberFormat="1" applyFont="1" applyAlignment="1">
      <alignment horizontal="center"/>
    </xf>
    <xf numFmtId="0" fontId="33" fillId="0" borderId="0" xfId="0" applyFont="1" applyAlignment="1">
      <alignment horizontal="left"/>
    </xf>
    <xf numFmtId="2" fontId="33" fillId="0" borderId="0" xfId="0" applyNumberFormat="1" applyFont="1"/>
    <xf numFmtId="0" fontId="33" fillId="0" borderId="0" xfId="0" applyFont="1" applyAlignment="1">
      <alignment horizontal="center"/>
    </xf>
    <xf numFmtId="0" fontId="5" fillId="0" borderId="0" xfId="23" applyFont="1"/>
    <xf numFmtId="49" fontId="7" fillId="2" borderId="27" xfId="10" applyNumberFormat="1" applyFont="1" applyFill="1" applyBorder="1"/>
    <xf numFmtId="0" fontId="0" fillId="2" borderId="25" xfId="0" applyFill="1" applyBorder="1"/>
    <xf numFmtId="0" fontId="0" fillId="2" borderId="26" xfId="0" applyFill="1" applyBorder="1"/>
    <xf numFmtId="0" fontId="62" fillId="3" borderId="0" xfId="0" applyFont="1" applyFill="1"/>
    <xf numFmtId="0" fontId="5" fillId="3" borderId="0" xfId="0" applyFont="1" applyFill="1" applyAlignment="1">
      <alignment horizontal="right"/>
    </xf>
    <xf numFmtId="0" fontId="5" fillId="3" borderId="0" xfId="0" applyFont="1" applyFill="1" applyAlignment="1">
      <alignment horizontal="left"/>
    </xf>
    <xf numFmtId="0" fontId="29" fillId="2" borderId="8" xfId="46" applyFont="1" applyFill="1" applyBorder="1" applyAlignment="1">
      <alignment horizontal="center" vertical="center" wrapText="1"/>
    </xf>
    <xf numFmtId="2" fontId="37" fillId="0" borderId="8" xfId="46" applyNumberFormat="1" applyFont="1" applyBorder="1" applyAlignment="1">
      <alignment horizontal="center" vertical="center"/>
    </xf>
    <xf numFmtId="0" fontId="28" fillId="2" borderId="8" xfId="46" applyFont="1" applyFill="1" applyBorder="1" applyAlignment="1">
      <alignment horizontal="center" vertical="center" wrapText="1"/>
    </xf>
    <xf numFmtId="165" fontId="64" fillId="2" borderId="8" xfId="46" applyNumberFormat="1" applyFont="1" applyFill="1" applyBorder="1" applyAlignment="1">
      <alignment horizontal="center" vertical="center"/>
    </xf>
    <xf numFmtId="2" fontId="64" fillId="2" borderId="8" xfId="46" applyNumberFormat="1" applyFont="1" applyFill="1" applyBorder="1" applyAlignment="1">
      <alignment horizontal="center" vertical="center"/>
    </xf>
    <xf numFmtId="0" fontId="37" fillId="0" borderId="8" xfId="46" applyFont="1" applyBorder="1" applyAlignment="1">
      <alignment horizontal="center" vertical="center" wrapText="1"/>
    </xf>
    <xf numFmtId="0" fontId="28" fillId="0" borderId="0" xfId="46" applyFont="1"/>
    <xf numFmtId="0" fontId="28" fillId="0" borderId="0" xfId="46" applyFont="1" applyAlignment="1">
      <alignment wrapText="1"/>
    </xf>
    <xf numFmtId="0" fontId="47" fillId="0" borderId="8" xfId="0" applyFont="1" applyBorder="1" applyAlignment="1">
      <alignment horizontal="center" vertical="center"/>
    </xf>
    <xf numFmtId="0" fontId="47" fillId="2" borderId="8" xfId="0" applyFont="1" applyFill="1" applyBorder="1" applyAlignment="1">
      <alignment horizontal="center" vertical="center"/>
    </xf>
    <xf numFmtId="0" fontId="5" fillId="0" borderId="6" xfId="0" quotePrefix="1" applyFont="1" applyBorder="1" applyAlignment="1">
      <alignment horizontal="center" vertical="top"/>
    </xf>
    <xf numFmtId="0" fontId="5" fillId="0" borderId="4" xfId="0" applyFont="1" applyBorder="1" applyAlignment="1">
      <alignment horizontal="left" vertical="center" wrapText="1"/>
    </xf>
    <xf numFmtId="0" fontId="5" fillId="0" borderId="0" xfId="0" applyFont="1" applyAlignment="1">
      <alignment wrapText="1"/>
    </xf>
    <xf numFmtId="1" fontId="8" fillId="0" borderId="0" xfId="0" applyNumberFormat="1" applyFont="1" applyAlignment="1">
      <alignment vertical="center"/>
    </xf>
    <xf numFmtId="0" fontId="5" fillId="0" borderId="3" xfId="0" quotePrefix="1" applyFont="1" applyBorder="1" applyAlignment="1">
      <alignment horizontal="center" vertical="center"/>
    </xf>
    <xf numFmtId="0" fontId="6" fillId="0" borderId="4" xfId="0" applyFont="1" applyBorder="1" applyAlignment="1">
      <alignment vertical="center"/>
    </xf>
    <xf numFmtId="0" fontId="7" fillId="0" borderId="0" xfId="23" applyFont="1"/>
    <xf numFmtId="0" fontId="5" fillId="0" borderId="1" xfId="23" applyFont="1" applyBorder="1"/>
    <xf numFmtId="167" fontId="5" fillId="0" borderId="0" xfId="23" applyNumberFormat="1" applyFont="1" applyAlignment="1">
      <alignment horizontal="left" vertical="center"/>
    </xf>
    <xf numFmtId="0" fontId="5" fillId="0" borderId="0" xfId="23" applyFont="1" applyAlignment="1">
      <alignment horizontal="center" vertical="center"/>
    </xf>
    <xf numFmtId="0" fontId="5" fillId="0" borderId="0" xfId="23" applyFont="1" applyAlignment="1">
      <alignment vertical="center"/>
    </xf>
    <xf numFmtId="167" fontId="8" fillId="0" borderId="0" xfId="23" applyNumberFormat="1" applyFont="1" applyAlignment="1">
      <alignment horizontal="center" vertical="center"/>
    </xf>
    <xf numFmtId="167" fontId="5" fillId="0" borderId="0" xfId="23" applyNumberFormat="1" applyFont="1" applyAlignment="1">
      <alignment horizontal="center" vertical="center"/>
    </xf>
    <xf numFmtId="0" fontId="7" fillId="0" borderId="0" xfId="23" applyFont="1" applyAlignment="1">
      <alignment horizontal="left" vertical="center"/>
    </xf>
    <xf numFmtId="1" fontId="7" fillId="0" borderId="0" xfId="23" applyNumberFormat="1" applyFont="1" applyAlignment="1">
      <alignment horizontal="center" vertical="center"/>
    </xf>
    <xf numFmtId="0" fontId="5" fillId="0" borderId="0" xfId="23" applyFont="1" applyAlignment="1">
      <alignment horizontal="left" vertical="center"/>
    </xf>
    <xf numFmtId="0" fontId="5" fillId="0" borderId="0" xfId="23" applyFont="1" applyAlignment="1">
      <alignment horizontal="left" vertical="center" wrapText="1"/>
    </xf>
    <xf numFmtId="0" fontId="5" fillId="0" borderId="0" xfId="23" applyFont="1" applyAlignment="1">
      <alignment horizontal="center" vertical="center" wrapText="1"/>
    </xf>
    <xf numFmtId="0" fontId="5" fillId="0" borderId="0" xfId="23" applyFont="1" applyAlignment="1">
      <alignment horizontal="right" vertical="center"/>
    </xf>
    <xf numFmtId="0" fontId="5" fillId="0" borderId="1" xfId="23" applyFont="1" applyBorder="1" applyAlignment="1">
      <alignment vertical="center"/>
    </xf>
    <xf numFmtId="0" fontId="7" fillId="0" borderId="20" xfId="23" applyFont="1" applyBorder="1" applyAlignment="1">
      <alignment vertical="center"/>
    </xf>
    <xf numFmtId="2" fontId="8" fillId="0" borderId="0" xfId="23" applyNumberFormat="1" applyFont="1" applyAlignment="1">
      <alignment vertical="center"/>
    </xf>
    <xf numFmtId="168" fontId="8" fillId="0" borderId="0" xfId="23" applyNumberFormat="1" applyFont="1" applyAlignment="1" applyProtection="1">
      <alignment vertical="center"/>
      <protection locked="0"/>
    </xf>
    <xf numFmtId="0" fontId="7" fillId="0" borderId="0" xfId="23" applyFont="1" applyAlignment="1">
      <alignment horizontal="center" vertical="center"/>
    </xf>
    <xf numFmtId="0" fontId="6" fillId="0" borderId="0" xfId="23" applyFont="1" applyAlignment="1">
      <alignment vertical="center"/>
    </xf>
    <xf numFmtId="14" fontId="7" fillId="0" borderId="0" xfId="23" applyNumberFormat="1" applyFont="1" applyAlignment="1">
      <alignment horizontal="center" vertical="center"/>
    </xf>
    <xf numFmtId="49" fontId="7" fillId="0" borderId="20" xfId="23" applyNumberFormat="1" applyFont="1" applyBorder="1" applyAlignment="1">
      <alignment horizontal="center" vertical="center"/>
    </xf>
    <xf numFmtId="0" fontId="5" fillId="0" borderId="0" xfId="23" applyFont="1" applyAlignment="1">
      <alignment vertical="center" wrapText="1"/>
    </xf>
    <xf numFmtId="0" fontId="5" fillId="0" borderId="18" xfId="23" applyFont="1" applyBorder="1" applyAlignment="1">
      <alignment vertical="center" wrapText="1"/>
    </xf>
    <xf numFmtId="0" fontId="5" fillId="2" borderId="26" xfId="23" applyFont="1" applyFill="1" applyBorder="1" applyAlignment="1">
      <alignment vertical="center"/>
    </xf>
    <xf numFmtId="0" fontId="5" fillId="2" borderId="25" xfId="23" applyFont="1" applyFill="1" applyBorder="1" applyAlignment="1">
      <alignment vertical="center"/>
    </xf>
    <xf numFmtId="0" fontId="7" fillId="2" borderId="25" xfId="23" applyFont="1" applyFill="1" applyBorder="1" applyAlignment="1">
      <alignment vertical="center"/>
    </xf>
    <xf numFmtId="0" fontId="7" fillId="2" borderId="25" xfId="23" applyFont="1" applyFill="1" applyBorder="1" applyAlignment="1">
      <alignment horizontal="left" vertical="center"/>
    </xf>
    <xf numFmtId="49" fontId="7" fillId="2" borderId="27" xfId="23" applyNumberFormat="1" applyFont="1" applyFill="1" applyBorder="1" applyAlignment="1">
      <alignment horizontal="center" vertical="center"/>
    </xf>
    <xf numFmtId="0" fontId="5" fillId="0" borderId="2" xfId="23" applyFont="1" applyBorder="1" applyAlignment="1">
      <alignment horizontal="center" vertical="center"/>
    </xf>
    <xf numFmtId="1" fontId="7" fillId="0" borderId="2" xfId="23" applyNumberFormat="1" applyFont="1" applyBorder="1" applyAlignment="1">
      <alignment horizontal="center" vertical="center"/>
    </xf>
    <xf numFmtId="0" fontId="7" fillId="0" borderId="2" xfId="23" applyFont="1" applyBorder="1" applyAlignment="1">
      <alignment horizontal="left" vertical="center"/>
    </xf>
    <xf numFmtId="49" fontId="7" fillId="0" borderId="0" xfId="23" applyNumberFormat="1" applyFont="1" applyAlignment="1">
      <alignment horizontal="left" vertical="center"/>
    </xf>
    <xf numFmtId="0" fontId="7" fillId="0" borderId="0" xfId="23" applyFont="1" applyAlignment="1">
      <alignment horizontal="right" vertical="center"/>
    </xf>
    <xf numFmtId="49" fontId="16" fillId="0" borderId="0" xfId="23" applyNumberFormat="1" applyFont="1" applyAlignment="1">
      <alignment horizontal="center" vertical="center"/>
    </xf>
    <xf numFmtId="168" fontId="5" fillId="0" borderId="0" xfId="23" applyNumberFormat="1" applyFont="1" applyAlignment="1">
      <alignment horizontal="center" vertical="center"/>
    </xf>
    <xf numFmtId="165" fontId="7" fillId="0" borderId="0" xfId="23" applyNumberFormat="1" applyFont="1" applyAlignment="1">
      <alignment horizontal="center" vertical="center"/>
    </xf>
    <xf numFmtId="168" fontId="7" fillId="0" borderId="0" xfId="23" applyNumberFormat="1" applyFont="1" applyAlignment="1">
      <alignment horizontal="center" vertical="center"/>
    </xf>
    <xf numFmtId="167" fontId="5" fillId="0" borderId="0" xfId="23" applyNumberFormat="1" applyFont="1" applyAlignment="1">
      <alignment horizontal="center" vertical="center" wrapText="1"/>
    </xf>
    <xf numFmtId="0" fontId="3" fillId="0" borderId="0" xfId="23" applyAlignment="1">
      <alignment horizontal="center" vertical="center"/>
    </xf>
    <xf numFmtId="165" fontId="5"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vertical="top" wrapText="1"/>
    </xf>
    <xf numFmtId="0" fontId="5" fillId="0" borderId="0" xfId="0" quotePrefix="1" applyFont="1" applyAlignment="1">
      <alignment horizontal="right" vertical="center" wrapText="1"/>
    </xf>
    <xf numFmtId="0" fontId="5" fillId="0" borderId="0" xfId="0" applyFont="1" applyAlignment="1" applyProtection="1">
      <alignment vertical="center"/>
      <protection hidden="1"/>
    </xf>
    <xf numFmtId="2" fontId="5" fillId="0" borderId="0" xfId="0" applyNumberFormat="1" applyFont="1" applyAlignment="1">
      <alignment horizontal="center" wrapText="1"/>
    </xf>
    <xf numFmtId="0" fontId="5" fillId="0" borderId="7" xfId="23" applyFont="1" applyBorder="1" applyAlignment="1">
      <alignment vertical="center"/>
    </xf>
    <xf numFmtId="0" fontId="5" fillId="0" borderId="20" xfId="23" applyFont="1" applyBorder="1"/>
    <xf numFmtId="0" fontId="3" fillId="0" borderId="0" xfId="0" applyFont="1"/>
    <xf numFmtId="49" fontId="3" fillId="0" borderId="0" xfId="0" applyNumberFormat="1" applyFont="1" applyAlignment="1">
      <alignment horizontal="left"/>
    </xf>
    <xf numFmtId="49" fontId="5" fillId="2" borderId="27" xfId="0" applyNumberFormat="1" applyFont="1" applyFill="1" applyBorder="1" applyAlignment="1">
      <alignment horizontal="left" vertical="center"/>
    </xf>
    <xf numFmtId="49" fontId="5" fillId="0" borderId="20" xfId="0" applyNumberFormat="1" applyFont="1" applyBorder="1" applyAlignment="1">
      <alignment horizontal="left" vertical="center"/>
    </xf>
    <xf numFmtId="0" fontId="5" fillId="0" borderId="19" xfId="0" applyFont="1" applyBorder="1" applyAlignment="1">
      <alignment horizontal="left" vertical="center"/>
    </xf>
    <xf numFmtId="49" fontId="5" fillId="2" borderId="26" xfId="0" applyNumberFormat="1" applyFont="1" applyFill="1" applyBorder="1" applyAlignment="1">
      <alignment horizontal="left" vertical="center"/>
    </xf>
    <xf numFmtId="0" fontId="5" fillId="2" borderId="25" xfId="0" applyFont="1" applyFill="1" applyBorder="1" applyAlignment="1">
      <alignment vertical="center"/>
    </xf>
    <xf numFmtId="168" fontId="5" fillId="0" borderId="0" xfId="0" applyNumberFormat="1" applyFont="1" applyAlignment="1">
      <alignment horizontal="center" vertical="center"/>
    </xf>
    <xf numFmtId="0" fontId="5" fillId="3" borderId="0" xfId="0" applyFont="1" applyFill="1" applyAlignment="1">
      <alignment horizontal="center" wrapText="1"/>
    </xf>
    <xf numFmtId="0" fontId="71" fillId="0" borderId="0" xfId="0" applyFont="1" applyAlignment="1">
      <alignment horizontal="left" vertical="center"/>
    </xf>
    <xf numFmtId="0" fontId="5" fillId="0" borderId="20" xfId="0" applyFont="1" applyBorder="1" applyAlignment="1">
      <alignment vertical="center"/>
    </xf>
    <xf numFmtId="49" fontId="5" fillId="0" borderId="19" xfId="0" applyNumberFormat="1" applyFont="1" applyBorder="1" applyAlignment="1">
      <alignment horizontal="left" vertical="center"/>
    </xf>
    <xf numFmtId="0" fontId="5" fillId="2" borderId="8" xfId="0" applyFont="1" applyFill="1" applyBorder="1" applyAlignment="1">
      <alignment horizontal="center" vertical="center"/>
    </xf>
    <xf numFmtId="165" fontId="5" fillId="2" borderId="8" xfId="0" applyNumberFormat="1" applyFont="1" applyFill="1" applyBorder="1" applyAlignment="1">
      <alignment horizontal="center" vertical="center"/>
    </xf>
    <xf numFmtId="0" fontId="60" fillId="0" borderId="0" xfId="0" applyFont="1" applyAlignment="1">
      <alignment horizontal="left" vertical="top"/>
    </xf>
    <xf numFmtId="165" fontId="5" fillId="3" borderId="0" xfId="0" applyNumberFormat="1" applyFont="1" applyFill="1" applyAlignment="1">
      <alignment horizontal="center"/>
    </xf>
    <xf numFmtId="0" fontId="5" fillId="3" borderId="0" xfId="0" applyFont="1" applyFill="1" applyAlignment="1">
      <alignment horizontal="left" vertical="center"/>
    </xf>
    <xf numFmtId="165" fontId="5" fillId="3" borderId="0" xfId="0" applyNumberFormat="1" applyFont="1" applyFill="1" applyAlignment="1">
      <alignment horizontal="center" vertical="center"/>
    </xf>
    <xf numFmtId="49" fontId="5" fillId="3" borderId="0" xfId="0" applyNumberFormat="1"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left" wrapText="1"/>
    </xf>
    <xf numFmtId="0" fontId="5" fillId="3" borderId="0" xfId="0" applyFont="1" applyFill="1" applyAlignment="1">
      <alignment horizontal="left" vertical="center" wrapText="1"/>
    </xf>
    <xf numFmtId="165" fontId="5" fillId="3" borderId="0" xfId="0" applyNumberFormat="1" applyFont="1" applyFill="1" applyAlignment="1">
      <alignment horizontal="center" vertical="center" wrapText="1"/>
    </xf>
    <xf numFmtId="0" fontId="5" fillId="3" borderId="0" xfId="0" applyFont="1" applyFill="1" applyAlignment="1">
      <alignment horizontal="left" vertical="top" wrapText="1"/>
    </xf>
    <xf numFmtId="49" fontId="5" fillId="3" borderId="0" xfId="0" applyNumberFormat="1" applyFont="1" applyFill="1" applyAlignment="1">
      <alignment horizontal="left" vertical="center"/>
    </xf>
    <xf numFmtId="0" fontId="5" fillId="3" borderId="0" xfId="0" quotePrefix="1" applyFont="1" applyFill="1" applyAlignment="1">
      <alignment horizontal="center" vertical="center"/>
    </xf>
    <xf numFmtId="0" fontId="5" fillId="3" borderId="1" xfId="0" applyFont="1" applyFill="1" applyBorder="1" applyAlignment="1">
      <alignment vertical="center"/>
    </xf>
    <xf numFmtId="1" fontId="5" fillId="2" borderId="8" xfId="0" applyNumberFormat="1" applyFont="1" applyFill="1" applyBorder="1" applyAlignment="1">
      <alignment horizontal="center" vertical="center"/>
    </xf>
    <xf numFmtId="0" fontId="3" fillId="0" borderId="0" xfId="54"/>
    <xf numFmtId="0" fontId="16" fillId="0" borderId="0" xfId="54" applyFont="1" applyAlignment="1">
      <alignment horizontal="center" wrapText="1"/>
    </xf>
    <xf numFmtId="0" fontId="90" fillId="0" borderId="0" xfId="48"/>
    <xf numFmtId="0" fontId="3" fillId="0" borderId="6" xfId="54" applyBorder="1"/>
    <xf numFmtId="0" fontId="5" fillId="0" borderId="0" xfId="54" applyFont="1" applyAlignment="1">
      <alignment horizontal="left"/>
    </xf>
    <xf numFmtId="0" fontId="5" fillId="0" borderId="0" xfId="54" applyFont="1"/>
    <xf numFmtId="0" fontId="5" fillId="0" borderId="7" xfId="54" applyFont="1" applyBorder="1"/>
    <xf numFmtId="0" fontId="5" fillId="0" borderId="6" xfId="54" applyFont="1" applyBorder="1"/>
    <xf numFmtId="0" fontId="3" fillId="2" borderId="29" xfId="23" applyFill="1" applyBorder="1" applyAlignment="1">
      <alignment wrapText="1"/>
    </xf>
    <xf numFmtId="0" fontId="7" fillId="0" borderId="20" xfId="23" applyFont="1" applyBorder="1" applyAlignment="1">
      <alignment horizontal="left" vertical="center"/>
    </xf>
    <xf numFmtId="0" fontId="3" fillId="0" borderId="0" xfId="23" applyAlignment="1">
      <alignment horizontal="left" vertical="center"/>
    </xf>
    <xf numFmtId="0" fontId="21" fillId="0" borderId="0" xfId="23" applyFont="1" applyAlignment="1">
      <alignment horizontal="center"/>
    </xf>
    <xf numFmtId="0" fontId="22" fillId="0" borderId="0" xfId="23" applyFont="1"/>
    <xf numFmtId="0" fontId="5" fillId="0" borderId="37" xfId="23" applyFont="1" applyBorder="1"/>
    <xf numFmtId="0" fontId="5" fillId="0" borderId="38" xfId="23" applyFont="1" applyBorder="1"/>
    <xf numFmtId="0" fontId="5" fillId="0" borderId="39" xfId="23" applyFont="1" applyBorder="1"/>
    <xf numFmtId="0" fontId="5" fillId="0" borderId="40" xfId="23" applyFont="1" applyBorder="1"/>
    <xf numFmtId="0" fontId="5" fillId="0" borderId="41" xfId="23" applyFont="1" applyBorder="1"/>
    <xf numFmtId="0" fontId="5" fillId="0" borderId="42" xfId="23" applyFont="1" applyBorder="1"/>
    <xf numFmtId="0" fontId="7" fillId="2" borderId="0" xfId="23" applyFont="1" applyFill="1"/>
    <xf numFmtId="0" fontId="5" fillId="2" borderId="0" xfId="23" applyFont="1" applyFill="1"/>
    <xf numFmtId="0" fontId="5" fillId="0" borderId="4" xfId="23" applyFont="1" applyBorder="1" applyProtection="1">
      <protection locked="0"/>
    </xf>
    <xf numFmtId="0" fontId="70" fillId="0" borderId="0" xfId="10" applyFont="1"/>
    <xf numFmtId="0" fontId="7" fillId="0" borderId="0" xfId="0" applyFont="1" applyProtection="1">
      <protection hidden="1"/>
    </xf>
    <xf numFmtId="0" fontId="7" fillId="0" borderId="0" xfId="0" applyFont="1" applyAlignment="1" applyProtection="1">
      <alignment horizontal="center" vertical="center"/>
      <protection hidden="1"/>
    </xf>
    <xf numFmtId="0" fontId="10" fillId="0" borderId="0" xfId="0" applyFont="1" applyProtection="1">
      <protection hidden="1"/>
    </xf>
    <xf numFmtId="0" fontId="8" fillId="0" borderId="0" xfId="23" applyFont="1" applyAlignment="1">
      <alignment vertical="center"/>
    </xf>
    <xf numFmtId="0" fontId="8" fillId="0" borderId="0" xfId="23" applyFont="1" applyAlignment="1">
      <alignment horizontal="center" vertical="center"/>
    </xf>
    <xf numFmtId="0" fontId="5" fillId="0" borderId="0" xfId="55" applyFont="1"/>
    <xf numFmtId="0" fontId="5" fillId="0" borderId="0" xfId="55" applyFont="1" applyAlignment="1">
      <alignment vertical="center"/>
    </xf>
    <xf numFmtId="0" fontId="5" fillId="0" borderId="0" xfId="55" applyFont="1" applyAlignment="1">
      <alignment horizontal="left" vertical="center"/>
    </xf>
    <xf numFmtId="0" fontId="5" fillId="0" borderId="0" xfId="55" applyFont="1" applyAlignment="1">
      <alignment horizontal="center" vertical="center"/>
    </xf>
    <xf numFmtId="0" fontId="7" fillId="0" borderId="0" xfId="55" applyFont="1"/>
    <xf numFmtId="0" fontId="6" fillId="0" borderId="0" xfId="55" applyFont="1" applyAlignment="1">
      <alignment horizontal="center"/>
    </xf>
    <xf numFmtId="0" fontId="6" fillId="0" borderId="0" xfId="55" applyFont="1" applyAlignment="1">
      <alignment horizontal="center" vertical="center"/>
    </xf>
    <xf numFmtId="0" fontId="5" fillId="0" borderId="0" xfId="55" applyFont="1" applyAlignment="1">
      <alignment vertical="center" wrapText="1"/>
    </xf>
    <xf numFmtId="0" fontId="5" fillId="0" borderId="43" xfId="23" applyFont="1" applyBorder="1"/>
    <xf numFmtId="0" fontId="5" fillId="0" borderId="44" xfId="23" applyFont="1" applyBorder="1"/>
    <xf numFmtId="0" fontId="5" fillId="0" borderId="45" xfId="23" applyFont="1" applyBorder="1"/>
    <xf numFmtId="0" fontId="5" fillId="0" borderId="19" xfId="23" applyFont="1" applyBorder="1" applyAlignment="1">
      <alignment horizontal="right" vertical="center"/>
    </xf>
    <xf numFmtId="0" fontId="3" fillId="0" borderId="2" xfId="23" applyBorder="1" applyAlignment="1">
      <alignment horizontal="right" vertical="center"/>
    </xf>
    <xf numFmtId="0" fontId="3" fillId="0" borderId="2" xfId="23" applyBorder="1" applyAlignment="1">
      <alignment horizontal="right"/>
    </xf>
    <xf numFmtId="49" fontId="3" fillId="0" borderId="2" xfId="23" applyNumberFormat="1" applyBorder="1" applyAlignment="1">
      <alignment horizontal="left" vertical="center"/>
    </xf>
    <xf numFmtId="0" fontId="3" fillId="0" borderId="2" xfId="23" applyBorder="1"/>
    <xf numFmtId="0" fontId="3" fillId="0" borderId="21" xfId="23" applyBorder="1"/>
    <xf numFmtId="0" fontId="5" fillId="0" borderId="0" xfId="55" applyFont="1" applyAlignment="1">
      <alignment horizontal="left" vertical="center" wrapText="1"/>
    </xf>
    <xf numFmtId="49" fontId="7" fillId="0" borderId="0" xfId="0" applyNumberFormat="1" applyFont="1" applyAlignment="1">
      <alignment horizontal="center" vertical="center" wrapText="1"/>
    </xf>
    <xf numFmtId="49" fontId="7" fillId="0" borderId="4" xfId="0" applyNumberFormat="1" applyFont="1" applyBorder="1" applyAlignment="1">
      <alignment horizontal="center" vertical="center"/>
    </xf>
    <xf numFmtId="49" fontId="7" fillId="0" borderId="4" xfId="0" applyNumberFormat="1" applyFont="1" applyBorder="1" applyAlignment="1">
      <alignment horizontal="center" vertical="center" wrapText="1"/>
    </xf>
    <xf numFmtId="0" fontId="7" fillId="0" borderId="0" xfId="0" applyFont="1" applyAlignment="1" applyProtection="1">
      <alignment vertical="center"/>
      <protection hidden="1"/>
    </xf>
    <xf numFmtId="165" fontId="7" fillId="2" borderId="8" xfId="55" applyNumberFormat="1" applyFont="1" applyFill="1" applyBorder="1" applyAlignment="1">
      <alignment horizontal="center" vertical="center"/>
    </xf>
    <xf numFmtId="0" fontId="3" fillId="0" borderId="0" xfId="55"/>
    <xf numFmtId="0" fontId="5" fillId="0" borderId="8" xfId="0" applyFont="1" applyBorder="1" applyAlignment="1">
      <alignment horizontal="left" vertical="center"/>
    </xf>
    <xf numFmtId="165" fontId="5" fillId="0" borderId="2" xfId="0" applyNumberFormat="1" applyFont="1" applyBorder="1" applyAlignment="1">
      <alignment horizontal="center" vertical="center"/>
    </xf>
    <xf numFmtId="0" fontId="10" fillId="3" borderId="0" xfId="0" applyFont="1" applyFill="1"/>
    <xf numFmtId="49" fontId="7" fillId="2" borderId="16" xfId="0" applyNumberFormat="1" applyFont="1" applyFill="1" applyBorder="1" applyAlignment="1">
      <alignment horizontal="left"/>
    </xf>
    <xf numFmtId="0" fontId="33" fillId="3" borderId="0" xfId="60" applyFont="1" applyFill="1" applyAlignment="1">
      <alignment horizontal="left" vertical="top"/>
    </xf>
    <xf numFmtId="0" fontId="5" fillId="0" borderId="5" xfId="0" applyFont="1" applyBorder="1" applyAlignment="1">
      <alignment horizontal="center" vertical="center"/>
    </xf>
    <xf numFmtId="0" fontId="7" fillId="0" borderId="6" xfId="0" applyFont="1" applyBorder="1"/>
    <xf numFmtId="0" fontId="5" fillId="0" borderId="7" xfId="0" applyFont="1" applyBorder="1" applyAlignment="1">
      <alignment horizontal="left"/>
    </xf>
    <xf numFmtId="0" fontId="7" fillId="0" borderId="6" xfId="0" applyFont="1" applyBorder="1" applyAlignment="1">
      <alignment horizontal="right"/>
    </xf>
    <xf numFmtId="0" fontId="7" fillId="0" borderId="6" xfId="0" quotePrefix="1" applyFont="1" applyBorder="1" applyAlignment="1">
      <alignment horizontal="right" vertical="center"/>
    </xf>
    <xf numFmtId="0" fontId="7" fillId="0" borderId="3" xfId="0" applyFont="1" applyBorder="1"/>
    <xf numFmtId="0" fontId="7" fillId="0" borderId="10" xfId="0" applyFont="1" applyBorder="1"/>
    <xf numFmtId="165" fontId="7" fillId="0" borderId="2" xfId="0" applyNumberFormat="1" applyFont="1" applyBorder="1" applyAlignment="1">
      <alignment horizontal="center" vertical="center"/>
    </xf>
    <xf numFmtId="1" fontId="7" fillId="0" borderId="0" xfId="0" applyNumberFormat="1" applyFont="1" applyAlignment="1">
      <alignment vertical="center"/>
    </xf>
    <xf numFmtId="49" fontId="7" fillId="0" borderId="7"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2" borderId="16" xfId="0" quotePrefix="1" applyFont="1" applyFill="1" applyBorder="1" applyAlignment="1">
      <alignment horizontal="center"/>
    </xf>
    <xf numFmtId="0" fontId="7" fillId="0" borderId="10" xfId="0" quotePrefix="1" applyFont="1" applyBorder="1"/>
    <xf numFmtId="0" fontId="5" fillId="0" borderId="11" xfId="0" applyFont="1" applyBorder="1" applyAlignment="1">
      <alignment wrapText="1"/>
    </xf>
    <xf numFmtId="49" fontId="7" fillId="0" borderId="6" xfId="0" applyNumberFormat="1" applyFont="1" applyBorder="1" applyAlignment="1">
      <alignment horizontal="right" vertical="center"/>
    </xf>
    <xf numFmtId="0" fontId="5" fillId="0" borderId="7" xfId="0" applyFont="1" applyBorder="1" applyAlignment="1">
      <alignment wrapText="1"/>
    </xf>
    <xf numFmtId="49" fontId="7" fillId="2" borderId="16" xfId="0" applyNumberFormat="1" applyFont="1" applyFill="1" applyBorder="1" applyAlignment="1">
      <alignment horizontal="center"/>
    </xf>
    <xf numFmtId="0" fontId="5" fillId="2" borderId="13" xfId="0" applyFont="1" applyFill="1" applyBorder="1"/>
    <xf numFmtId="174" fontId="7" fillId="0" borderId="7" xfId="0" applyNumberFormat="1" applyFont="1" applyBorder="1" applyAlignment="1" applyProtection="1">
      <alignment horizontal="center" vertical="center"/>
      <protection hidden="1"/>
    </xf>
    <xf numFmtId="0" fontId="5" fillId="0" borderId="7" xfId="55" applyFont="1" applyBorder="1"/>
    <xf numFmtId="0" fontId="5" fillId="0" borderId="7" xfId="55" applyFont="1" applyBorder="1" applyAlignment="1">
      <alignment horizontal="center" vertical="center"/>
    </xf>
    <xf numFmtId="49" fontId="5" fillId="0" borderId="10" xfId="0" applyNumberFormat="1" applyFont="1" applyBorder="1" applyAlignment="1">
      <alignment horizontal="center" vertical="center"/>
    </xf>
    <xf numFmtId="165" fontId="5" fillId="0" borderId="46" xfId="0" applyNumberFormat="1" applyFont="1" applyBorder="1" applyAlignment="1">
      <alignment horizontal="left" vertical="center"/>
    </xf>
    <xf numFmtId="0" fontId="5" fillId="0" borderId="46" xfId="0" applyFont="1" applyBorder="1" applyAlignment="1">
      <alignment horizontal="left" vertical="center"/>
    </xf>
    <xf numFmtId="165" fontId="7" fillId="0" borderId="2" xfId="0" applyNumberFormat="1" applyFont="1" applyBorder="1" applyAlignment="1">
      <alignment horizontal="center"/>
    </xf>
    <xf numFmtId="165" fontId="7" fillId="0" borderId="25" xfId="0" applyNumberFormat="1" applyFont="1" applyBorder="1" applyAlignment="1">
      <alignment horizontal="center" vertical="center"/>
    </xf>
    <xf numFmtId="0" fontId="7" fillId="0" borderId="4" xfId="0" applyFont="1" applyBorder="1"/>
    <xf numFmtId="0" fontId="3" fillId="0" borderId="0" xfId="23" applyAlignment="1">
      <alignment vertical="center" wrapText="1"/>
    </xf>
    <xf numFmtId="0" fontId="5" fillId="0" borderId="0" xfId="55" applyFont="1" applyAlignment="1">
      <alignment horizontal="right"/>
    </xf>
    <xf numFmtId="0" fontId="5" fillId="0" borderId="0" xfId="55" applyFont="1" applyAlignment="1">
      <alignment horizontal="right" vertical="center"/>
    </xf>
    <xf numFmtId="0" fontId="33" fillId="3" borderId="0" xfId="9" applyFont="1" applyFill="1"/>
    <xf numFmtId="49" fontId="7" fillId="0" borderId="0" xfId="55" applyNumberFormat="1" applyFont="1" applyAlignment="1">
      <alignment horizontal="right" vertical="center"/>
    </xf>
    <xf numFmtId="1" fontId="77" fillId="0" borderId="0" xfId="55" applyNumberFormat="1" applyFont="1" applyAlignment="1" applyProtection="1">
      <alignment horizontal="center" vertical="center"/>
      <protection hidden="1"/>
    </xf>
    <xf numFmtId="0" fontId="5" fillId="0" borderId="0" xfId="10" applyFont="1" applyAlignment="1">
      <alignment vertical="center" wrapText="1"/>
    </xf>
    <xf numFmtId="49" fontId="7" fillId="2" borderId="19" xfId="23" applyNumberFormat="1" applyFont="1" applyFill="1" applyBorder="1" applyAlignment="1">
      <alignment horizontal="center" vertical="center"/>
    </xf>
    <xf numFmtId="0" fontId="7" fillId="2" borderId="2" xfId="23" applyFont="1" applyFill="1" applyBorder="1" applyAlignment="1">
      <alignment horizontal="left" vertical="center"/>
    </xf>
    <xf numFmtId="0" fontId="7" fillId="2" borderId="2" xfId="23" applyFont="1" applyFill="1" applyBorder="1" applyAlignment="1">
      <alignment vertical="center"/>
    </xf>
    <xf numFmtId="0" fontId="5" fillId="2" borderId="2" xfId="23" applyFont="1" applyFill="1" applyBorder="1" applyAlignment="1">
      <alignment vertical="center"/>
    </xf>
    <xf numFmtId="0" fontId="5" fillId="2" borderId="21" xfId="23" applyFont="1" applyFill="1" applyBorder="1" applyAlignment="1">
      <alignment vertical="center"/>
    </xf>
    <xf numFmtId="0" fontId="7" fillId="2" borderId="25" xfId="10" applyFont="1" applyFill="1" applyBorder="1" applyAlignment="1">
      <alignment vertical="center"/>
    </xf>
    <xf numFmtId="0" fontId="3" fillId="2" borderId="25" xfId="0" applyFont="1" applyFill="1" applyBorder="1" applyAlignment="1">
      <alignment vertical="center" wrapText="1"/>
    </xf>
    <xf numFmtId="0" fontId="13" fillId="0" borderId="0" xfId="10" applyFont="1" applyAlignment="1">
      <alignment vertical="center"/>
    </xf>
    <xf numFmtId="0" fontId="3" fillId="0" borderId="0" xfId="0" applyFont="1" applyAlignment="1">
      <alignment vertical="center" wrapText="1"/>
    </xf>
    <xf numFmtId="0" fontId="5" fillId="2" borderId="25" xfId="10" applyFont="1" applyFill="1" applyBorder="1" applyAlignment="1">
      <alignment vertical="center"/>
    </xf>
    <xf numFmtId="0" fontId="5" fillId="2" borderId="26" xfId="10" applyFont="1" applyFill="1" applyBorder="1" applyAlignment="1">
      <alignment horizontal="left" vertical="center"/>
    </xf>
    <xf numFmtId="49" fontId="7" fillId="2" borderId="27" xfId="10" applyNumberFormat="1" applyFont="1" applyFill="1" applyBorder="1" applyAlignment="1">
      <alignment vertical="center"/>
    </xf>
    <xf numFmtId="2" fontId="5" fillId="0" borderId="0" xfId="23" applyNumberFormat="1" applyFont="1" applyAlignment="1">
      <alignment vertical="center"/>
    </xf>
    <xf numFmtId="167" fontId="5" fillId="0" borderId="0" xfId="23" applyNumberFormat="1" applyFont="1" applyAlignment="1">
      <alignment vertical="center"/>
    </xf>
    <xf numFmtId="165" fontId="5" fillId="0" borderId="0" xfId="23" applyNumberFormat="1" applyFont="1" applyAlignment="1">
      <alignment vertical="center"/>
    </xf>
    <xf numFmtId="0" fontId="7" fillId="0" borderId="6" xfId="23" applyFont="1" applyBorder="1" applyAlignment="1">
      <alignment vertical="center"/>
    </xf>
    <xf numFmtId="0" fontId="10" fillId="0" borderId="0" xfId="10" applyFont="1" applyAlignment="1">
      <alignment vertical="center"/>
    </xf>
    <xf numFmtId="0" fontId="9" fillId="0" borderId="0" xfId="10" applyFont="1" applyAlignment="1">
      <alignment vertical="center"/>
    </xf>
    <xf numFmtId="168" fontId="5" fillId="0" borderId="0" xfId="10" applyNumberFormat="1" applyFont="1" applyAlignment="1">
      <alignment vertical="center"/>
    </xf>
    <xf numFmtId="165" fontId="5" fillId="0" borderId="0" xfId="10" applyNumberFormat="1" applyFont="1" applyAlignment="1">
      <alignment vertical="center"/>
    </xf>
    <xf numFmtId="168" fontId="9" fillId="0" borderId="0" xfId="10" applyNumberFormat="1" applyFont="1" applyAlignment="1">
      <alignment horizontal="center" vertical="center"/>
    </xf>
    <xf numFmtId="0" fontId="13" fillId="0" borderId="0" xfId="10" applyFont="1" applyAlignment="1">
      <alignment horizontal="left" vertical="center"/>
    </xf>
    <xf numFmtId="168" fontId="78" fillId="0" borderId="0" xfId="10" applyNumberFormat="1" applyFont="1" applyAlignment="1" applyProtection="1">
      <alignment horizontal="left" vertical="center"/>
      <protection hidden="1"/>
    </xf>
    <xf numFmtId="165" fontId="7" fillId="0" borderId="0" xfId="10" applyNumberFormat="1" applyFont="1" applyAlignment="1">
      <alignment horizontal="left" vertical="center"/>
    </xf>
    <xf numFmtId="0" fontId="13" fillId="0" borderId="0" xfId="10" applyFont="1" applyAlignment="1">
      <alignment vertical="center" wrapText="1"/>
    </xf>
    <xf numFmtId="0" fontId="21" fillId="0" borderId="0" xfId="23" applyFont="1" applyAlignment="1">
      <alignment vertical="center"/>
    </xf>
    <xf numFmtId="49" fontId="21" fillId="0" borderId="0" xfId="23" applyNumberFormat="1" applyFont="1" applyAlignment="1">
      <alignment horizontal="left" vertical="center"/>
    </xf>
    <xf numFmtId="49" fontId="22" fillId="0" borderId="0" xfId="23" applyNumberFormat="1" applyFont="1" applyAlignment="1">
      <alignment horizontal="left" vertical="center"/>
    </xf>
    <xf numFmtId="0" fontId="7" fillId="0" borderId="22" xfId="23" applyFont="1" applyBorder="1" applyAlignment="1">
      <alignment vertical="center"/>
    </xf>
    <xf numFmtId="0" fontId="7" fillId="0" borderId="18" xfId="23" applyFont="1" applyBorder="1" applyAlignment="1">
      <alignment horizontal="left" vertical="center"/>
    </xf>
    <xf numFmtId="0" fontId="5" fillId="0" borderId="18" xfId="23" applyFont="1" applyBorder="1" applyAlignment="1">
      <alignment vertical="center"/>
    </xf>
    <xf numFmtId="0" fontId="5" fillId="0" borderId="23" xfId="23" applyFont="1" applyBorder="1" applyAlignment="1">
      <alignment vertical="center"/>
    </xf>
    <xf numFmtId="0" fontId="13" fillId="0" borderId="1" xfId="23" applyFont="1" applyBorder="1" applyAlignment="1">
      <alignment vertical="center" wrapText="1"/>
    </xf>
    <xf numFmtId="0" fontId="13" fillId="0" borderId="0" xfId="23" applyFont="1" applyAlignment="1">
      <alignment vertical="center" wrapText="1"/>
    </xf>
    <xf numFmtId="0" fontId="3" fillId="0" borderId="0" xfId="23" applyAlignment="1">
      <alignment vertical="center"/>
    </xf>
    <xf numFmtId="0" fontId="79" fillId="0" borderId="0" xfId="23" applyFont="1" applyAlignment="1">
      <alignment vertical="center"/>
    </xf>
    <xf numFmtId="0" fontId="71" fillId="0" borderId="0" xfId="23" applyFont="1" applyAlignment="1">
      <alignment vertical="center"/>
    </xf>
    <xf numFmtId="0" fontId="7" fillId="0" borderId="19" xfId="23" applyFont="1" applyBorder="1" applyAlignment="1">
      <alignment vertical="center"/>
    </xf>
    <xf numFmtId="0" fontId="5" fillId="0" borderId="2" xfId="23" applyFont="1" applyBorder="1" applyAlignment="1">
      <alignment vertical="center"/>
    </xf>
    <xf numFmtId="0" fontId="5" fillId="0" borderId="21" xfId="23" applyFont="1" applyBorder="1" applyAlignment="1">
      <alignment vertical="center"/>
    </xf>
    <xf numFmtId="49" fontId="7" fillId="0" borderId="6" xfId="23" applyNumberFormat="1" applyFont="1" applyBorder="1" applyAlignment="1">
      <alignment horizontal="center" vertical="center"/>
    </xf>
    <xf numFmtId="0" fontId="7" fillId="0" borderId="0" xfId="23" applyFont="1" applyAlignment="1">
      <alignment vertical="center"/>
    </xf>
    <xf numFmtId="0" fontId="8" fillId="0" borderId="17" xfId="23" applyFont="1" applyBorder="1" applyAlignment="1">
      <alignment horizontal="center" vertical="center"/>
    </xf>
    <xf numFmtId="0" fontId="7" fillId="0" borderId="3" xfId="23" applyFont="1" applyBorder="1" applyAlignment="1">
      <alignment vertical="center"/>
    </xf>
    <xf numFmtId="0" fontId="7" fillId="0" borderId="4" xfId="23" applyFont="1" applyBorder="1" applyAlignment="1">
      <alignment horizontal="left" vertical="center"/>
    </xf>
    <xf numFmtId="0" fontId="5" fillId="0" borderId="4" xfId="23" applyFont="1" applyBorder="1" applyAlignment="1">
      <alignment vertical="center"/>
    </xf>
    <xf numFmtId="0" fontId="5" fillId="0" borderId="5" xfId="23" applyFont="1" applyBorder="1" applyAlignment="1">
      <alignment vertical="center"/>
    </xf>
    <xf numFmtId="0" fontId="80" fillId="3" borderId="0" xfId="23" applyFont="1" applyFill="1" applyAlignment="1">
      <alignment vertical="center"/>
    </xf>
    <xf numFmtId="0" fontId="3" fillId="0" borderId="1" xfId="0" applyFont="1" applyBorder="1" applyAlignment="1">
      <alignment vertical="center"/>
    </xf>
    <xf numFmtId="0" fontId="3" fillId="0" borderId="0" xfId="0" applyFont="1" applyAlignment="1">
      <alignment vertical="center"/>
    </xf>
    <xf numFmtId="49" fontId="7" fillId="0" borderId="22" xfId="23" applyNumberFormat="1" applyFont="1" applyBorder="1" applyAlignment="1">
      <alignment horizontal="center" vertical="center"/>
    </xf>
    <xf numFmtId="0" fontId="7" fillId="0" borderId="18" xfId="23" applyFont="1" applyBorder="1" applyAlignment="1">
      <alignment vertical="center"/>
    </xf>
    <xf numFmtId="1" fontId="5" fillId="0" borderId="0" xfId="0" applyNumberFormat="1" applyFont="1" applyAlignment="1">
      <alignment vertical="center"/>
    </xf>
    <xf numFmtId="0" fontId="81" fillId="3" borderId="0" xfId="23" applyFont="1" applyFill="1" applyAlignment="1">
      <alignment vertical="center"/>
    </xf>
    <xf numFmtId="0" fontId="5" fillId="3" borderId="0" xfId="23" applyFont="1" applyFill="1" applyAlignment="1">
      <alignment vertical="center"/>
    </xf>
    <xf numFmtId="0" fontId="7" fillId="3" borderId="0" xfId="23" applyFont="1" applyFill="1" applyAlignment="1" applyProtection="1">
      <alignment horizontal="center" vertical="center"/>
      <protection locked="0"/>
    </xf>
    <xf numFmtId="49" fontId="7" fillId="0" borderId="9" xfId="0" applyNumberFormat="1" applyFont="1" applyBorder="1" applyAlignment="1">
      <alignment horizontal="center" vertical="center"/>
    </xf>
    <xf numFmtId="49" fontId="7" fillId="0" borderId="9" xfId="0" applyNumberFormat="1" applyFont="1" applyBorder="1" applyAlignment="1">
      <alignment horizontal="center" vertical="center" wrapText="1"/>
    </xf>
    <xf numFmtId="0" fontId="5" fillId="0" borderId="9" xfId="0" applyFont="1" applyBorder="1" applyAlignment="1">
      <alignment vertical="top"/>
    </xf>
    <xf numFmtId="0" fontId="5" fillId="0" borderId="11" xfId="0" applyFont="1" applyBorder="1" applyAlignment="1">
      <alignment vertical="top"/>
    </xf>
    <xf numFmtId="0" fontId="6" fillId="0" borderId="7" xfId="55" applyFont="1" applyBorder="1" applyAlignment="1">
      <alignment horizontal="center"/>
    </xf>
    <xf numFmtId="0" fontId="7" fillId="0" borderId="0" xfId="0" applyFont="1" applyAlignment="1">
      <alignment horizontal="right"/>
    </xf>
    <xf numFmtId="49" fontId="16" fillId="0" borderId="0" xfId="23" applyNumberFormat="1" applyFont="1" applyAlignment="1">
      <alignment vertical="center" wrapText="1"/>
    </xf>
    <xf numFmtId="0" fontId="5" fillId="0" borderId="1" xfId="10" applyFont="1" applyBorder="1" applyAlignment="1">
      <alignment horizontal="left" vertical="center"/>
    </xf>
    <xf numFmtId="0" fontId="7" fillId="0" borderId="1" xfId="10" applyFont="1" applyBorder="1" applyAlignment="1">
      <alignment horizontal="left" vertical="center"/>
    </xf>
    <xf numFmtId="2" fontId="7" fillId="0" borderId="1" xfId="10" applyNumberFormat="1" applyFont="1" applyBorder="1" applyAlignment="1">
      <alignment horizontal="left" vertical="center"/>
    </xf>
    <xf numFmtId="0" fontId="5" fillId="0" borderId="1" xfId="0" applyFont="1" applyBorder="1" applyAlignment="1">
      <alignment vertical="center"/>
    </xf>
    <xf numFmtId="0" fontId="5" fillId="0" borderId="21" xfId="10" applyFont="1" applyBorder="1" applyAlignment="1">
      <alignment horizontal="left" vertical="center"/>
    </xf>
    <xf numFmtId="49" fontId="7" fillId="0" borderId="22" xfId="10" applyNumberFormat="1" applyFont="1" applyBorder="1" applyAlignment="1">
      <alignment horizontal="left" vertical="center"/>
    </xf>
    <xf numFmtId="0" fontId="7" fillId="0" borderId="23" xfId="10" applyFont="1" applyBorder="1" applyAlignment="1">
      <alignment horizontal="left" vertical="center"/>
    </xf>
    <xf numFmtId="168" fontId="78" fillId="0" borderId="1" xfId="10" applyNumberFormat="1" applyFont="1" applyBorder="1" applyAlignment="1" applyProtection="1">
      <alignment horizontal="left" vertical="center"/>
      <protection hidden="1"/>
    </xf>
    <xf numFmtId="165" fontId="7" fillId="0" borderId="1" xfId="10" applyNumberFormat="1" applyFont="1" applyBorder="1" applyAlignment="1">
      <alignment horizontal="left" vertical="center"/>
    </xf>
    <xf numFmtId="0" fontId="5" fillId="0" borderId="23" xfId="10" applyFont="1" applyBorder="1" applyAlignment="1">
      <alignment horizontal="left" vertical="center"/>
    </xf>
    <xf numFmtId="168" fontId="7" fillId="0" borderId="18" xfId="10" applyNumberFormat="1" applyFont="1" applyBorder="1" applyAlignment="1">
      <alignment horizontal="center" vertical="center"/>
    </xf>
    <xf numFmtId="0" fontId="5" fillId="0" borderId="18" xfId="10" applyFont="1" applyBorder="1" applyAlignment="1">
      <alignment horizontal="center" vertical="center"/>
    </xf>
    <xf numFmtId="49" fontId="7" fillId="0" borderId="2" xfId="10" applyNumberFormat="1" applyFont="1" applyBorder="1" applyAlignment="1">
      <alignment horizontal="left" vertical="center"/>
    </xf>
    <xf numFmtId="0" fontId="7" fillId="0" borderId="1" xfId="10" applyFont="1" applyBorder="1" applyAlignment="1">
      <alignment horizontal="center" vertical="center"/>
    </xf>
    <xf numFmtId="0" fontId="5" fillId="2" borderId="26" xfId="10" applyFont="1" applyFill="1" applyBorder="1" applyAlignment="1">
      <alignment horizontal="right" vertical="center"/>
    </xf>
    <xf numFmtId="165" fontId="5" fillId="0" borderId="0" xfId="10" applyNumberFormat="1" applyFont="1" applyProtection="1">
      <protection hidden="1"/>
    </xf>
    <xf numFmtId="0" fontId="82" fillId="0" borderId="0" xfId="10" applyFont="1" applyAlignment="1">
      <alignment horizontal="left" vertical="center"/>
    </xf>
    <xf numFmtId="0" fontId="83" fillId="3" borderId="0" xfId="23" applyFont="1" applyFill="1" applyAlignment="1">
      <alignment vertical="center"/>
    </xf>
    <xf numFmtId="49" fontId="7" fillId="0" borderId="6" xfId="55" applyNumberFormat="1" applyFont="1" applyBorder="1" applyAlignment="1">
      <alignment horizontal="right" vertical="center"/>
    </xf>
    <xf numFmtId="0" fontId="7" fillId="0" borderId="6" xfId="55" applyFont="1" applyBorder="1" applyAlignment="1">
      <alignment horizontal="right" vertical="center"/>
    </xf>
    <xf numFmtId="1" fontId="33" fillId="3" borderId="0" xfId="0" applyNumberFormat="1" applyFont="1" applyFill="1" applyAlignment="1">
      <alignment horizontal="center"/>
    </xf>
    <xf numFmtId="2" fontId="33" fillId="3" borderId="0" xfId="0" applyNumberFormat="1" applyFont="1" applyFill="1" applyAlignment="1">
      <alignment horizontal="center"/>
    </xf>
    <xf numFmtId="2" fontId="33" fillId="3" borderId="0" xfId="0" applyNumberFormat="1" applyFont="1" applyFill="1" applyAlignment="1">
      <alignment horizontal="center" vertical="center"/>
    </xf>
    <xf numFmtId="0" fontId="33" fillId="3" borderId="0" xfId="57" applyFont="1" applyFill="1" applyAlignment="1">
      <alignment horizontal="left" vertical="center"/>
    </xf>
    <xf numFmtId="0" fontId="33" fillId="3" borderId="0" xfId="0" applyFont="1" applyFill="1" applyAlignment="1">
      <alignment horizontal="center"/>
    </xf>
    <xf numFmtId="0" fontId="33" fillId="3" borderId="0" xfId="57" applyFont="1" applyFill="1" applyAlignment="1">
      <alignment horizontal="left" vertical="top"/>
    </xf>
    <xf numFmtId="0" fontId="33" fillId="3" borderId="0" xfId="60" applyFont="1" applyFill="1" applyAlignment="1">
      <alignment horizontal="left" vertical="center"/>
    </xf>
    <xf numFmtId="165" fontId="33" fillId="3" borderId="0" xfId="53" applyNumberFormat="1" applyFont="1" applyFill="1"/>
    <xf numFmtId="0" fontId="33" fillId="3" borderId="0" xfId="60" applyFont="1" applyFill="1" applyAlignment="1">
      <alignment horizontal="left" vertical="center" wrapText="1"/>
    </xf>
    <xf numFmtId="0" fontId="33" fillId="3" borderId="0" xfId="0" quotePrefix="1" applyFont="1" applyFill="1" applyAlignment="1">
      <alignment horizontal="center"/>
    </xf>
    <xf numFmtId="165" fontId="33" fillId="0" borderId="0" xfId="53" applyNumberFormat="1" applyFont="1"/>
    <xf numFmtId="1" fontId="33" fillId="3" borderId="0" xfId="0" applyNumberFormat="1" applyFont="1" applyFill="1" applyAlignment="1">
      <alignment horizontal="center" vertical="center"/>
    </xf>
    <xf numFmtId="165" fontId="33" fillId="3" borderId="0" xfId="0" applyNumberFormat="1" applyFont="1" applyFill="1"/>
    <xf numFmtId="0" fontId="33" fillId="3" borderId="0" xfId="59" applyFont="1" applyFill="1"/>
    <xf numFmtId="165" fontId="84" fillId="3" borderId="0" xfId="0" applyNumberFormat="1" applyFont="1" applyFill="1"/>
    <xf numFmtId="0" fontId="84" fillId="0" borderId="0" xfId="0" applyFont="1"/>
    <xf numFmtId="49" fontId="33" fillId="0" borderId="0" xfId="0" quotePrefix="1" applyNumberFormat="1" applyFont="1"/>
    <xf numFmtId="0" fontId="33" fillId="0" borderId="0" xfId="0" quotePrefix="1" applyFont="1"/>
    <xf numFmtId="0" fontId="85" fillId="6" borderId="0" xfId="0" applyFont="1" applyFill="1"/>
    <xf numFmtId="2" fontId="33" fillId="3" borderId="0" xfId="49" applyNumberFormat="1" applyFont="1" applyFill="1" applyAlignment="1">
      <alignment horizontal="center"/>
    </xf>
    <xf numFmtId="0" fontId="33" fillId="3" borderId="0" xfId="58" applyFont="1" applyFill="1"/>
    <xf numFmtId="0" fontId="33" fillId="3" borderId="0" xfId="49" applyFont="1" applyFill="1"/>
    <xf numFmtId="165" fontId="33" fillId="3" borderId="0" xfId="58" applyNumberFormat="1" applyFont="1" applyFill="1"/>
    <xf numFmtId="0" fontId="7" fillId="0" borderId="0" xfId="23" applyFont="1" applyAlignment="1" applyProtection="1">
      <alignment horizontal="left" vertical="center"/>
      <protection hidden="1"/>
    </xf>
    <xf numFmtId="0" fontId="5" fillId="0" borderId="0" xfId="23" applyFont="1" applyAlignment="1" applyProtection="1">
      <alignment vertical="center"/>
      <protection hidden="1"/>
    </xf>
    <xf numFmtId="169" fontId="5" fillId="0" borderId="0" xfId="23" applyNumberFormat="1" applyFont="1" applyAlignment="1" applyProtection="1">
      <alignment vertical="center"/>
      <protection hidden="1"/>
    </xf>
    <xf numFmtId="0" fontId="3" fillId="0" borderId="0" xfId="23" applyAlignment="1" applyProtection="1">
      <alignment vertical="center"/>
      <protection hidden="1"/>
    </xf>
    <xf numFmtId="165" fontId="5" fillId="0" borderId="0" xfId="23" applyNumberFormat="1" applyFont="1" applyAlignment="1" applyProtection="1">
      <alignment horizontal="left" vertical="center"/>
      <protection hidden="1"/>
    </xf>
    <xf numFmtId="0" fontId="5" fillId="0" borderId="0" xfId="23" applyFont="1" applyAlignment="1" applyProtection="1">
      <alignment horizontal="left" vertical="center"/>
      <protection hidden="1"/>
    </xf>
    <xf numFmtId="169" fontId="5" fillId="0" borderId="0" xfId="23" applyNumberFormat="1" applyFont="1" applyAlignment="1" applyProtection="1">
      <alignment horizontal="left" vertical="center"/>
      <protection hidden="1"/>
    </xf>
    <xf numFmtId="0" fontId="3" fillId="0" borderId="0" xfId="23" applyAlignment="1" applyProtection="1">
      <alignment horizontal="left" vertical="center"/>
      <protection hidden="1"/>
    </xf>
    <xf numFmtId="165" fontId="5" fillId="0" borderId="0" xfId="23" applyNumberFormat="1" applyFont="1" applyAlignment="1" applyProtection="1">
      <alignment vertical="center"/>
      <protection hidden="1"/>
    </xf>
    <xf numFmtId="0" fontId="13" fillId="0" borderId="1" xfId="23" applyFont="1" applyBorder="1" applyAlignment="1" applyProtection="1">
      <alignment vertical="center" wrapText="1"/>
      <protection hidden="1"/>
    </xf>
    <xf numFmtId="0" fontId="7" fillId="0" borderId="3" xfId="0" applyFont="1" applyBorder="1" applyAlignment="1">
      <alignment horizontal="center" vertical="center"/>
    </xf>
    <xf numFmtId="49" fontId="7" fillId="2" borderId="22" xfId="23" applyNumberFormat="1" applyFont="1" applyFill="1" applyBorder="1" applyAlignment="1">
      <alignment horizontal="center" vertical="center"/>
    </xf>
    <xf numFmtId="0" fontId="7" fillId="2" borderId="18" xfId="23" applyFont="1" applyFill="1" applyBorder="1" applyAlignment="1">
      <alignment horizontal="left" vertical="center"/>
    </xf>
    <xf numFmtId="0" fontId="7" fillId="2" borderId="18" xfId="23" applyFont="1" applyFill="1" applyBorder="1" applyAlignment="1">
      <alignment vertical="center"/>
    </xf>
    <xf numFmtId="0" fontId="5" fillId="2" borderId="18" xfId="23" applyFont="1" applyFill="1" applyBorder="1" applyAlignment="1">
      <alignment vertical="center"/>
    </xf>
    <xf numFmtId="0" fontId="7" fillId="0" borderId="9" xfId="23" applyFont="1" applyBorder="1" applyAlignment="1">
      <alignment horizontal="left" vertical="center"/>
    </xf>
    <xf numFmtId="0" fontId="5" fillId="0" borderId="9" xfId="23" applyFont="1" applyBorder="1" applyAlignment="1">
      <alignment vertical="center"/>
    </xf>
    <xf numFmtId="49" fontId="7" fillId="0" borderId="4" xfId="23" applyNumberFormat="1" applyFont="1" applyBorder="1" applyAlignment="1">
      <alignment horizontal="left" vertical="center"/>
    </xf>
    <xf numFmtId="0" fontId="5" fillId="0" borderId="4" xfId="23" applyFont="1" applyBorder="1" applyAlignment="1">
      <alignment horizontal="left" vertical="center"/>
    </xf>
    <xf numFmtId="0" fontId="86" fillId="0" borderId="0" xfId="23" applyFont="1" applyAlignment="1">
      <alignment vertical="center"/>
    </xf>
    <xf numFmtId="0" fontId="8" fillId="0" borderId="6" xfId="0" applyFont="1" applyBorder="1" applyAlignment="1">
      <alignment horizontal="center" vertical="center"/>
    </xf>
    <xf numFmtId="0" fontId="7" fillId="0" borderId="7" xfId="0" applyFont="1" applyBorder="1" applyAlignment="1">
      <alignment horizontal="center" wrapText="1"/>
    </xf>
    <xf numFmtId="164" fontId="5" fillId="0" borderId="7" xfId="0" applyNumberFormat="1" applyFont="1" applyBorder="1" applyAlignment="1">
      <alignment horizontal="center"/>
    </xf>
    <xf numFmtId="49" fontId="7" fillId="0" borderId="10" xfId="0" applyNumberFormat="1" applyFont="1" applyBorder="1" applyAlignment="1">
      <alignment horizontal="left" vertical="center" wrapText="1"/>
    </xf>
    <xf numFmtId="0" fontId="74" fillId="0" borderId="0" xfId="0" applyFont="1" applyAlignment="1">
      <alignment vertical="center" wrapText="1"/>
    </xf>
    <xf numFmtId="0" fontId="62" fillId="3" borderId="6" xfId="0" applyFont="1" applyFill="1" applyBorder="1"/>
    <xf numFmtId="0" fontId="62" fillId="3" borderId="7" xfId="0" applyFont="1" applyFill="1" applyBorder="1"/>
    <xf numFmtId="0" fontId="7" fillId="2" borderId="13" xfId="0" applyFont="1" applyFill="1" applyBorder="1" applyAlignment="1">
      <alignment horizontal="left" vertical="center"/>
    </xf>
    <xf numFmtId="0" fontId="7" fillId="2" borderId="16" xfId="0" applyFont="1" applyFill="1" applyBorder="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5" fillId="0" borderId="3" xfId="0" applyFont="1" applyBorder="1" applyAlignment="1">
      <alignment horizontal="left" vertical="center"/>
    </xf>
    <xf numFmtId="0" fontId="74" fillId="0" borderId="7" xfId="0" applyFont="1" applyBorder="1" applyAlignment="1">
      <alignment vertical="center" wrapText="1"/>
    </xf>
    <xf numFmtId="0" fontId="79" fillId="0" borderId="0" xfId="0" applyFont="1"/>
    <xf numFmtId="0" fontId="5" fillId="0" borderId="0" xfId="0" applyFont="1" applyAlignment="1" applyProtection="1">
      <alignment horizontal="left" vertical="top" wrapText="1"/>
      <protection locked="0"/>
    </xf>
    <xf numFmtId="0" fontId="7" fillId="2" borderId="16" xfId="0" applyFont="1" applyFill="1" applyBorder="1"/>
    <xf numFmtId="173" fontId="5" fillId="3" borderId="0" xfId="0" applyNumberFormat="1" applyFont="1" applyFill="1" applyAlignment="1" applyProtection="1">
      <alignment horizontal="center"/>
      <protection locked="0"/>
    </xf>
    <xf numFmtId="173" fontId="5" fillId="3" borderId="0" xfId="0" applyNumberFormat="1" applyFont="1" applyFill="1" applyProtection="1">
      <protection locked="0"/>
    </xf>
    <xf numFmtId="0" fontId="7" fillId="0" borderId="6" xfId="0" quotePrefix="1" applyFont="1" applyBorder="1" applyAlignment="1">
      <alignment horizontal="right"/>
    </xf>
    <xf numFmtId="0" fontId="5" fillId="0" borderId="0" xfId="0" applyFont="1" applyAlignment="1" applyProtection="1">
      <alignment horizontal="left" vertical="center"/>
      <protection locked="0"/>
    </xf>
    <xf numFmtId="168" fontId="5" fillId="2" borderId="8" xfId="10" applyNumberFormat="1" applyFont="1" applyFill="1" applyBorder="1" applyAlignment="1" applyProtection="1">
      <alignment horizontal="center" vertical="center"/>
      <protection locked="0"/>
    </xf>
    <xf numFmtId="165" fontId="65" fillId="0" borderId="0" xfId="10" applyNumberFormat="1" applyFont="1"/>
    <xf numFmtId="0" fontId="62" fillId="2" borderId="16" xfId="0" applyFont="1" applyFill="1" applyBorder="1"/>
    <xf numFmtId="0" fontId="62" fillId="2" borderId="17" xfId="0" applyFont="1" applyFill="1" applyBorder="1"/>
    <xf numFmtId="0" fontId="63" fillId="2" borderId="13" xfId="0" applyFont="1" applyFill="1" applyBorder="1" applyAlignment="1">
      <alignment horizontal="right"/>
    </xf>
    <xf numFmtId="0" fontId="63" fillId="2" borderId="17" xfId="0" applyFont="1" applyFill="1" applyBorder="1" applyAlignment="1">
      <alignment horizontal="right"/>
    </xf>
    <xf numFmtId="0" fontId="28" fillId="2" borderId="13" xfId="0" applyFont="1" applyFill="1" applyBorder="1" applyAlignment="1">
      <alignment horizontal="right"/>
    </xf>
    <xf numFmtId="0" fontId="0" fillId="0" borderId="5" xfId="0" applyBorder="1"/>
    <xf numFmtId="0" fontId="7" fillId="3" borderId="0" xfId="0" applyFont="1" applyFill="1" applyAlignment="1">
      <alignment horizontal="left"/>
    </xf>
    <xf numFmtId="0" fontId="5" fillId="2" borderId="17" xfId="0" applyFont="1" applyFill="1" applyBorder="1" applyAlignment="1">
      <alignment horizontal="left"/>
    </xf>
    <xf numFmtId="0" fontId="5" fillId="2" borderId="13" xfId="0" applyFont="1" applyFill="1" applyBorder="1" applyAlignment="1">
      <alignment horizontal="left"/>
    </xf>
    <xf numFmtId="0" fontId="5" fillId="3" borderId="7" xfId="0" applyFont="1" applyFill="1" applyBorder="1" applyAlignment="1">
      <alignment horizontal="left"/>
    </xf>
    <xf numFmtId="0" fontId="33" fillId="3" borderId="0" xfId="0" quotePrefix="1" applyFont="1" applyFill="1" applyAlignment="1">
      <alignment horizontal="right"/>
    </xf>
    <xf numFmtId="0" fontId="79" fillId="0" borderId="0" xfId="23" applyFont="1" applyAlignment="1" applyProtection="1">
      <alignment vertical="center"/>
      <protection locked="0"/>
    </xf>
    <xf numFmtId="49" fontId="16" fillId="0" borderId="0" xfId="0" applyNumberFormat="1" applyFont="1" applyAlignment="1">
      <alignment horizontal="left" vertical="center" wrapText="1"/>
    </xf>
    <xf numFmtId="0" fontId="5" fillId="0" borderId="33" xfId="10" applyFont="1" applyBorder="1" applyAlignment="1">
      <alignment vertical="center"/>
    </xf>
    <xf numFmtId="0" fontId="5" fillId="0" borderId="4" xfId="10" applyFont="1" applyBorder="1" applyAlignment="1">
      <alignment horizontal="left" vertical="center"/>
    </xf>
    <xf numFmtId="0" fontId="5" fillId="0" borderId="34" xfId="10" applyFont="1" applyBorder="1" applyAlignment="1">
      <alignment vertical="center"/>
    </xf>
    <xf numFmtId="0" fontId="7" fillId="0" borderId="31" xfId="23" applyFont="1" applyBorder="1" applyAlignment="1">
      <alignment vertical="center"/>
    </xf>
    <xf numFmtId="0" fontId="5" fillId="0" borderId="32" xfId="23" applyFont="1" applyBorder="1" applyAlignment="1">
      <alignment vertical="center"/>
    </xf>
    <xf numFmtId="0" fontId="7" fillId="0" borderId="1" xfId="23" applyFont="1" applyBorder="1" applyAlignment="1">
      <alignment horizontal="center" vertical="center"/>
    </xf>
    <xf numFmtId="0" fontId="7" fillId="0" borderId="33" xfId="23" applyFont="1" applyBorder="1" applyAlignment="1">
      <alignment vertical="center"/>
    </xf>
    <xf numFmtId="0" fontId="5" fillId="0" borderId="34" xfId="23" applyFont="1" applyBorder="1" applyAlignment="1">
      <alignment vertical="center"/>
    </xf>
    <xf numFmtId="0" fontId="7" fillId="3" borderId="6" xfId="0" applyFont="1" applyFill="1" applyBorder="1" applyAlignment="1">
      <alignment horizontal="right" vertical="center"/>
    </xf>
    <xf numFmtId="0" fontId="7" fillId="3" borderId="6" xfId="0" applyFont="1" applyFill="1" applyBorder="1"/>
    <xf numFmtId="0" fontId="5" fillId="3" borderId="6" xfId="0" applyFont="1" applyFill="1" applyBorder="1" applyAlignment="1" applyProtection="1">
      <alignment vertical="top" wrapText="1"/>
      <protection hidden="1"/>
    </xf>
    <xf numFmtId="0" fontId="5" fillId="3" borderId="7" xfId="0" applyFont="1" applyFill="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7" fillId="0" borderId="6" xfId="0" applyFont="1" applyBorder="1" applyProtection="1">
      <protection hidden="1"/>
    </xf>
    <xf numFmtId="0" fontId="5" fillId="0" borderId="7" xfId="0" applyFont="1" applyBorder="1" applyProtection="1">
      <protection hidden="1"/>
    </xf>
    <xf numFmtId="174" fontId="57" fillId="0" borderId="7" xfId="0" applyNumberFormat="1" applyFont="1" applyBorder="1" applyAlignment="1" applyProtection="1">
      <alignment horizontal="left" vertical="center" wrapText="1"/>
      <protection locked="0" hidden="1"/>
    </xf>
    <xf numFmtId="49" fontId="31" fillId="0" borderId="7" xfId="0" applyNumberFormat="1" applyFont="1" applyBorder="1" applyAlignment="1">
      <alignment horizontal="left" vertical="center" wrapText="1"/>
    </xf>
    <xf numFmtId="0" fontId="10" fillId="0" borderId="7" xfId="0" applyFont="1" applyBorder="1" applyAlignment="1">
      <alignment horizontal="center" vertical="center"/>
    </xf>
    <xf numFmtId="0" fontId="35" fillId="0" borderId="11" xfId="0" applyFont="1" applyBorder="1" applyAlignment="1">
      <alignment horizontal="left" vertical="center"/>
    </xf>
    <xf numFmtId="0" fontId="7" fillId="0" borderId="5" xfId="0" applyFont="1" applyBorder="1" applyAlignment="1">
      <alignment horizontal="center" vertical="center"/>
    </xf>
    <xf numFmtId="0" fontId="5" fillId="0" borderId="13" xfId="0" applyFont="1" applyBorder="1" applyAlignment="1">
      <alignment vertical="center"/>
    </xf>
    <xf numFmtId="0" fontId="22" fillId="0" borderId="0" xfId="0" applyFont="1" applyAlignment="1">
      <alignment horizontal="center" vertical="center"/>
    </xf>
    <xf numFmtId="0" fontId="51" fillId="0" borderId="7" xfId="0" applyFont="1" applyBorder="1" applyAlignment="1">
      <alignment horizontal="left" vertical="center"/>
    </xf>
    <xf numFmtId="0" fontId="7" fillId="0" borderId="10" xfId="0" applyFont="1" applyBorder="1" applyAlignment="1">
      <alignment horizontal="right" vertical="center"/>
    </xf>
    <xf numFmtId="0" fontId="74" fillId="0" borderId="9" xfId="0" applyFont="1" applyBorder="1" applyAlignment="1">
      <alignment vertical="center" wrapText="1"/>
    </xf>
    <xf numFmtId="0" fontId="5" fillId="0" borderId="11" xfId="0" applyFont="1" applyBorder="1" applyAlignment="1">
      <alignment horizontal="left" vertical="center"/>
    </xf>
    <xf numFmtId="0" fontId="9" fillId="0" borderId="4" xfId="0" applyFont="1" applyBorder="1" applyAlignment="1">
      <alignment horizontal="center" vertical="center"/>
    </xf>
    <xf numFmtId="165" fontId="4" fillId="0" borderId="4" xfId="0" applyNumberFormat="1" applyFont="1" applyBorder="1" applyAlignment="1">
      <alignment horizontal="center" vertical="center"/>
    </xf>
    <xf numFmtId="168" fontId="7" fillId="0" borderId="4" xfId="0" applyNumberFormat="1" applyFont="1" applyBorder="1" applyAlignment="1">
      <alignment horizontal="center" vertical="center"/>
    </xf>
    <xf numFmtId="0" fontId="6" fillId="0" borderId="4" xfId="0" applyFont="1" applyBorder="1" applyAlignment="1">
      <alignment horizontal="left" vertical="center"/>
    </xf>
    <xf numFmtId="1" fontId="5" fillId="0" borderId="0" xfId="0" applyNumberFormat="1" applyFont="1" applyAlignment="1" applyProtection="1">
      <alignment horizontal="center" vertical="center"/>
      <protection locked="0"/>
    </xf>
    <xf numFmtId="0" fontId="5" fillId="2" borderId="0" xfId="0" applyFont="1" applyFill="1" applyAlignment="1">
      <alignment horizontal="right"/>
    </xf>
    <xf numFmtId="0" fontId="5" fillId="2" borderId="0" xfId="0" applyFont="1" applyFill="1" applyAlignment="1">
      <alignment horizontal="left"/>
    </xf>
    <xf numFmtId="0" fontId="41" fillId="0" borderId="0" xfId="0" applyFont="1" applyAlignment="1">
      <alignment vertical="center"/>
    </xf>
    <xf numFmtId="0" fontId="41" fillId="0" borderId="0" xfId="0" applyFont="1" applyAlignment="1">
      <alignment horizontal="left" vertical="center"/>
    </xf>
    <xf numFmtId="0" fontId="88" fillId="0" borderId="0" xfId="0" applyFont="1"/>
    <xf numFmtId="49" fontId="7" fillId="0" borderId="0" xfId="0" applyNumberFormat="1" applyFont="1" applyAlignment="1" applyProtection="1">
      <alignment horizontal="left" vertical="center" wrapText="1"/>
      <protection locked="0"/>
    </xf>
    <xf numFmtId="0" fontId="68"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6" fillId="0" borderId="7" xfId="0" applyFont="1" applyBorder="1" applyAlignment="1">
      <alignment vertical="top"/>
    </xf>
    <xf numFmtId="0" fontId="5" fillId="0" borderId="0" xfId="0" quotePrefix="1" applyFont="1" applyAlignment="1">
      <alignment horizontal="left" vertical="center"/>
    </xf>
    <xf numFmtId="0" fontId="7" fillId="2" borderId="0" xfId="0" applyFont="1" applyFill="1" applyAlignment="1">
      <alignment horizontal="left" vertical="center"/>
    </xf>
    <xf numFmtId="0" fontId="5" fillId="2" borderId="0" xfId="0" applyFont="1" applyFill="1" applyAlignment="1">
      <alignment horizontal="right" vertical="center"/>
    </xf>
    <xf numFmtId="49" fontId="4" fillId="0" borderId="4" xfId="0" applyNumberFormat="1" applyFont="1" applyBorder="1" applyAlignment="1">
      <alignment vertical="center" wrapText="1"/>
    </xf>
    <xf numFmtId="165" fontId="7" fillId="0" borderId="0" xfId="0" applyNumberFormat="1" applyFont="1" applyAlignment="1">
      <alignment vertical="center"/>
    </xf>
    <xf numFmtId="0" fontId="5" fillId="0" borderId="10" xfId="0" quotePrefix="1" applyFont="1" applyBorder="1" applyAlignment="1">
      <alignment horizontal="center" vertical="center"/>
    </xf>
    <xf numFmtId="0" fontId="5" fillId="0" borderId="11" xfId="0" applyFont="1" applyBorder="1" applyAlignment="1">
      <alignment horizontal="center" vertical="center"/>
    </xf>
    <xf numFmtId="1" fontId="4" fillId="0" borderId="4" xfId="0" applyNumberFormat="1" applyFont="1" applyBorder="1" applyAlignment="1">
      <alignment horizontal="center" vertical="center"/>
    </xf>
    <xf numFmtId="165" fontId="9" fillId="0" borderId="4" xfId="0" applyNumberFormat="1" applyFont="1" applyBorder="1" applyAlignment="1">
      <alignment horizontal="center" vertical="center"/>
    </xf>
    <xf numFmtId="0" fontId="5" fillId="0" borderId="10" xfId="0" quotePrefix="1" applyFont="1" applyBorder="1" applyAlignment="1">
      <alignment horizontal="right" vertical="center"/>
    </xf>
    <xf numFmtId="0" fontId="5" fillId="0" borderId="5" xfId="0" applyFont="1" applyBorder="1" applyAlignment="1">
      <alignment horizontal="center" vertical="center" wrapText="1"/>
    </xf>
    <xf numFmtId="0" fontId="7" fillId="0" borderId="0" xfId="0" applyFont="1" applyAlignment="1">
      <alignment vertical="center"/>
    </xf>
    <xf numFmtId="0" fontId="5" fillId="8" borderId="0" xfId="0" applyFont="1" applyFill="1"/>
    <xf numFmtId="0" fontId="91" fillId="0" borderId="0" xfId="0" applyFont="1"/>
    <xf numFmtId="0" fontId="8" fillId="0" borderId="0" xfId="10" applyFont="1" applyAlignment="1">
      <alignment horizontal="right" vertical="center"/>
    </xf>
    <xf numFmtId="168" fontId="5" fillId="0" borderId="0" xfId="23" applyNumberFormat="1" applyFont="1" applyAlignment="1">
      <alignment horizontal="left" vertical="center"/>
    </xf>
    <xf numFmtId="0" fontId="3" fillId="0" borderId="0" xfId="10" applyFont="1" applyAlignment="1">
      <alignment horizontal="center" vertical="center"/>
    </xf>
    <xf numFmtId="0" fontId="9" fillId="2" borderId="16" xfId="0" applyFont="1" applyFill="1" applyBorder="1" applyAlignment="1">
      <alignment vertical="center"/>
    </xf>
    <xf numFmtId="0" fontId="5" fillId="9" borderId="0" xfId="10" applyFont="1" applyFill="1"/>
    <xf numFmtId="0" fontId="5" fillId="0" borderId="0" xfId="0" applyFont="1" applyAlignment="1" applyProtection="1">
      <alignment horizontal="center" vertical="center"/>
      <protection locked="0"/>
    </xf>
    <xf numFmtId="165" fontId="5" fillId="0" borderId="0" xfId="0" applyNumberFormat="1" applyFont="1" applyAlignment="1">
      <alignment vertical="center"/>
    </xf>
    <xf numFmtId="0" fontId="13" fillId="0" borderId="0" xfId="23" applyFont="1" applyAlignment="1">
      <alignment horizontal="left" vertical="center"/>
    </xf>
    <xf numFmtId="0" fontId="32" fillId="0" borderId="0" xfId="23" applyFont="1" applyAlignment="1">
      <alignment vertical="center"/>
    </xf>
    <xf numFmtId="0" fontId="91" fillId="0" borderId="0" xfId="0" applyFont="1" applyAlignment="1">
      <alignment vertical="center"/>
    </xf>
    <xf numFmtId="0" fontId="92" fillId="0" borderId="0" xfId="0" applyFont="1" applyAlignment="1">
      <alignment vertical="center"/>
    </xf>
    <xf numFmtId="0" fontId="92" fillId="0" borderId="0" xfId="0" applyFont="1" applyAlignment="1">
      <alignment horizontal="center" vertical="center"/>
    </xf>
    <xf numFmtId="0" fontId="92" fillId="0" borderId="0" xfId="0" applyFont="1" applyAlignment="1" applyProtection="1">
      <alignment vertical="center"/>
      <protection hidden="1"/>
    </xf>
    <xf numFmtId="0" fontId="5" fillId="0" borderId="22" xfId="0" applyFont="1" applyBorder="1" applyAlignment="1">
      <alignment horizontal="left" vertical="center"/>
    </xf>
    <xf numFmtId="0" fontId="5" fillId="0" borderId="18" xfId="0" applyFont="1" applyBorder="1" applyAlignment="1">
      <alignment horizontal="left"/>
    </xf>
    <xf numFmtId="0" fontId="5" fillId="0" borderId="18" xfId="0" applyFont="1" applyBorder="1"/>
    <xf numFmtId="0" fontId="5" fillId="0" borderId="18" xfId="0" applyFont="1" applyBorder="1" applyAlignment="1">
      <alignment vertical="center"/>
    </xf>
    <xf numFmtId="0" fontId="5" fillId="3" borderId="18" xfId="0" applyFont="1" applyFill="1" applyBorder="1"/>
    <xf numFmtId="0" fontId="5" fillId="3" borderId="18" xfId="0" applyFont="1" applyFill="1" applyBorder="1" applyAlignment="1">
      <alignment vertical="center"/>
    </xf>
    <xf numFmtId="0" fontId="5" fillId="3" borderId="23" xfId="0" applyFont="1" applyFill="1" applyBorder="1" applyAlignment="1">
      <alignment vertical="center"/>
    </xf>
    <xf numFmtId="0" fontId="13" fillId="0" borderId="0" xfId="0" applyFont="1" applyAlignment="1">
      <alignment horizontal="left"/>
    </xf>
    <xf numFmtId="0" fontId="92" fillId="10" borderId="0" xfId="10" applyFont="1" applyFill="1"/>
    <xf numFmtId="0" fontId="93" fillId="10" borderId="0" xfId="10" applyFont="1" applyFill="1"/>
    <xf numFmtId="0" fontId="5" fillId="2" borderId="25" xfId="10" applyFont="1" applyFill="1" applyBorder="1" applyAlignment="1">
      <alignment horizontal="right" vertical="center"/>
    </xf>
    <xf numFmtId="0" fontId="5" fillId="0" borderId="0" xfId="0" applyFont="1" applyProtection="1">
      <protection locked="0" hidden="1"/>
    </xf>
    <xf numFmtId="0" fontId="7" fillId="0" borderId="0" xfId="0" applyFont="1" applyAlignment="1" applyProtection="1">
      <alignment horizontal="center" vertical="center"/>
      <protection locked="0" hidden="1"/>
    </xf>
    <xf numFmtId="0" fontId="7" fillId="0" borderId="0" xfId="0" applyFont="1" applyAlignment="1" applyProtection="1">
      <alignment horizontal="center" vertical="center"/>
      <protection locked="0"/>
    </xf>
    <xf numFmtId="0" fontId="5" fillId="0" borderId="0" xfId="0" applyFont="1" applyProtection="1">
      <protection locked="0"/>
    </xf>
    <xf numFmtId="0" fontId="5" fillId="0" borderId="2" xfId="0" applyFont="1" applyBorder="1" applyAlignment="1">
      <alignment horizontal="left"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8" fillId="0" borderId="2" xfId="0" applyFont="1" applyBorder="1" applyAlignment="1">
      <alignment horizontal="center" vertical="center"/>
    </xf>
    <xf numFmtId="0" fontId="9" fillId="0" borderId="2" xfId="0" applyFont="1" applyBorder="1" applyAlignment="1">
      <alignment horizontal="left" vertical="center"/>
    </xf>
    <xf numFmtId="1" fontId="8" fillId="0" borderId="2" xfId="0" applyNumberFormat="1" applyFont="1" applyBorder="1" applyAlignment="1">
      <alignment horizontal="center" vertical="center"/>
    </xf>
    <xf numFmtId="0" fontId="52" fillId="0" borderId="2" xfId="0" applyFont="1" applyBorder="1" applyAlignment="1">
      <alignment horizontal="center" vertical="center"/>
    </xf>
    <xf numFmtId="1" fontId="9" fillId="0" borderId="2" xfId="0" applyNumberFormat="1" applyFont="1" applyBorder="1" applyAlignment="1">
      <alignment horizontal="left" vertical="center"/>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center" wrapText="1"/>
    </xf>
    <xf numFmtId="0" fontId="5" fillId="0" borderId="5" xfId="0" applyFont="1" applyBorder="1" applyAlignment="1">
      <alignment horizontal="center" wrapText="1"/>
    </xf>
    <xf numFmtId="165" fontId="9" fillId="2" borderId="8" xfId="0" applyNumberFormat="1" applyFont="1" applyFill="1" applyBorder="1" applyAlignment="1">
      <alignment horizontal="center" vertical="center"/>
    </xf>
    <xf numFmtId="0" fontId="5" fillId="2" borderId="25" xfId="0" applyFont="1" applyFill="1" applyBorder="1" applyAlignment="1">
      <alignment horizontal="left" vertical="center"/>
    </xf>
    <xf numFmtId="0" fontId="5" fillId="0" borderId="3"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vertical="center"/>
    </xf>
    <xf numFmtId="2" fontId="5" fillId="2" borderId="8" xfId="0" applyNumberFormat="1" applyFont="1" applyFill="1" applyBorder="1" applyAlignment="1">
      <alignment horizontal="center" vertical="center"/>
    </xf>
    <xf numFmtId="0" fontId="5" fillId="0" borderId="4" xfId="0" applyFont="1" applyBorder="1" applyProtection="1">
      <protection locked="0"/>
    </xf>
    <xf numFmtId="14" fontId="7" fillId="0" borderId="0" xfId="0" applyNumberFormat="1" applyFont="1" applyAlignment="1">
      <alignment vertical="center"/>
    </xf>
    <xf numFmtId="14" fontId="7" fillId="0" borderId="5" xfId="0" applyNumberFormat="1" applyFont="1" applyBorder="1" applyAlignment="1">
      <alignment vertical="center"/>
    </xf>
    <xf numFmtId="0" fontId="3" fillId="0" borderId="7" xfId="0" applyFont="1" applyBorder="1"/>
    <xf numFmtId="0" fontId="7" fillId="0" borderId="3" xfId="0" applyFont="1" applyBorder="1" applyAlignment="1">
      <alignment horizontal="right" vertical="center"/>
    </xf>
    <xf numFmtId="0" fontId="5" fillId="0" borderId="4" xfId="0" applyFont="1" applyBorder="1" applyAlignment="1">
      <alignment vertical="center" wrapText="1"/>
    </xf>
    <xf numFmtId="49" fontId="7" fillId="2" borderId="20" xfId="23" applyNumberFormat="1" applyFont="1" applyFill="1" applyBorder="1" applyAlignment="1">
      <alignment horizontal="center" vertical="center"/>
    </xf>
    <xf numFmtId="0" fontId="7" fillId="2" borderId="0" xfId="23" applyFont="1" applyFill="1" applyAlignment="1">
      <alignment horizontal="left" vertical="center"/>
    </xf>
    <xf numFmtId="0" fontId="7" fillId="2" borderId="0" xfId="23" applyFont="1" applyFill="1" applyAlignment="1">
      <alignment vertical="center"/>
    </xf>
    <xf numFmtId="0" fontId="5" fillId="2" borderId="0" xfId="23" applyFont="1" applyFill="1" applyAlignment="1">
      <alignment vertical="center"/>
    </xf>
    <xf numFmtId="0" fontId="5" fillId="2" borderId="1" xfId="23" applyFont="1" applyFill="1" applyBorder="1" applyAlignment="1">
      <alignment vertical="center"/>
    </xf>
    <xf numFmtId="0" fontId="7" fillId="0" borderId="10" xfId="23" applyFont="1" applyBorder="1" applyAlignment="1">
      <alignment vertical="center"/>
    </xf>
    <xf numFmtId="0" fontId="5" fillId="0" borderId="9" xfId="23" applyFont="1" applyBorder="1" applyAlignment="1">
      <alignment horizontal="left" vertical="center"/>
    </xf>
    <xf numFmtId="0" fontId="5" fillId="0" borderId="9" xfId="23" applyFont="1" applyBorder="1" applyAlignment="1">
      <alignment horizontal="center" vertical="center" wrapText="1"/>
    </xf>
    <xf numFmtId="0" fontId="5" fillId="0" borderId="11" xfId="23" applyFont="1" applyBorder="1" applyAlignment="1">
      <alignment vertical="center"/>
    </xf>
    <xf numFmtId="0" fontId="5" fillId="0" borderId="7" xfId="23" applyFont="1" applyBorder="1" applyAlignment="1">
      <alignment horizontal="center" vertical="center"/>
    </xf>
    <xf numFmtId="1" fontId="8" fillId="0" borderId="4" xfId="23" applyNumberFormat="1" applyFont="1" applyBorder="1" applyAlignment="1">
      <alignment horizontal="center" vertical="center"/>
    </xf>
    <xf numFmtId="0" fontId="5" fillId="0" borderId="4" xfId="23" applyFont="1" applyBorder="1" applyAlignment="1">
      <alignment horizontal="center" vertical="center"/>
    </xf>
    <xf numFmtId="167" fontId="8" fillId="0" borderId="4" xfId="23" applyNumberFormat="1" applyFont="1" applyBorder="1" applyAlignment="1">
      <alignment horizontal="center" vertical="center"/>
    </xf>
    <xf numFmtId="0" fontId="5" fillId="0" borderId="4" xfId="23" applyFont="1" applyBorder="1" applyAlignment="1">
      <alignment horizontal="right" vertical="center"/>
    </xf>
    <xf numFmtId="0" fontId="5" fillId="0" borderId="1" xfId="23" applyFont="1" applyBorder="1" applyAlignment="1">
      <alignment horizontal="left" vertical="center" wrapText="1"/>
    </xf>
    <xf numFmtId="0" fontId="5" fillId="2" borderId="26" xfId="0" applyFont="1" applyFill="1" applyBorder="1" applyAlignment="1">
      <alignment horizontal="right" vertical="center"/>
    </xf>
    <xf numFmtId="0" fontId="6" fillId="0" borderId="1" xfId="0" applyFont="1" applyBorder="1" applyAlignment="1">
      <alignment horizontal="left" vertical="center" wrapText="1"/>
    </xf>
    <xf numFmtId="0" fontId="5" fillId="2" borderId="26" xfId="0" applyFont="1" applyFill="1" applyBorder="1" applyAlignment="1">
      <alignment horizontal="left" vertical="center"/>
    </xf>
    <xf numFmtId="165" fontId="5" fillId="0" borderId="1" xfId="0" applyNumberFormat="1" applyFont="1" applyBorder="1" applyAlignment="1">
      <alignment horizontal="center" vertical="center"/>
    </xf>
    <xf numFmtId="0" fontId="5" fillId="3" borderId="1" xfId="0" applyFont="1" applyFill="1" applyBorder="1" applyAlignment="1">
      <alignment horizontal="center"/>
    </xf>
    <xf numFmtId="0" fontId="6" fillId="0" borderId="2" xfId="0" applyFont="1" applyBorder="1" applyAlignment="1">
      <alignment horizontal="left" vertical="center"/>
    </xf>
    <xf numFmtId="0" fontId="5" fillId="0" borderId="21" xfId="0" applyFont="1" applyBorder="1"/>
    <xf numFmtId="49" fontId="69" fillId="0" borderId="0" xfId="0" applyNumberFormat="1" applyFont="1" applyAlignment="1">
      <alignment vertical="center" wrapText="1"/>
    </xf>
    <xf numFmtId="0" fontId="6" fillId="0" borderId="1" xfId="0" applyFont="1" applyBorder="1" applyAlignment="1">
      <alignment horizontal="left" vertical="center"/>
    </xf>
    <xf numFmtId="0" fontId="5" fillId="2" borderId="26" xfId="0" applyFont="1" applyFill="1" applyBorder="1"/>
    <xf numFmtId="168"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165" fontId="7" fillId="0" borderId="9" xfId="55" applyNumberFormat="1" applyFont="1" applyBorder="1" applyAlignment="1" applyProtection="1">
      <alignment horizontal="center" vertical="center"/>
      <protection locked="0"/>
    </xf>
    <xf numFmtId="1" fontId="5" fillId="0" borderId="0" xfId="0" applyNumberFormat="1" applyFont="1" applyAlignment="1" applyProtection="1">
      <alignment horizontal="center" vertical="center"/>
      <protection hidden="1"/>
    </xf>
    <xf numFmtId="0" fontId="5" fillId="0" borderId="0" xfId="0" applyFont="1" applyAlignment="1" applyProtection="1">
      <alignment horizontal="left" vertical="center"/>
      <protection hidden="1"/>
    </xf>
    <xf numFmtId="0" fontId="93" fillId="0" borderId="0" xfId="0" applyFont="1" applyProtection="1">
      <protection hidden="1"/>
    </xf>
    <xf numFmtId="0" fontId="5" fillId="14" borderId="0" xfId="10" applyFont="1" applyFill="1"/>
    <xf numFmtId="0" fontId="93" fillId="14" borderId="0" xfId="10" applyFont="1" applyFill="1"/>
    <xf numFmtId="165" fontId="93" fillId="14" borderId="0" xfId="10" applyNumberFormat="1" applyFont="1" applyFill="1" applyProtection="1">
      <protection hidden="1"/>
    </xf>
    <xf numFmtId="165" fontId="93" fillId="0" borderId="0" xfId="10" applyNumberFormat="1" applyFont="1"/>
    <xf numFmtId="0" fontId="3" fillId="0" borderId="0" xfId="23" applyAlignment="1">
      <alignment horizontal="right"/>
    </xf>
    <xf numFmtId="0" fontId="5" fillId="15" borderId="8" xfId="0" applyFont="1" applyFill="1" applyBorder="1" applyAlignment="1" applyProtection="1">
      <alignment horizontal="center" vertical="center"/>
      <protection locked="0"/>
    </xf>
    <xf numFmtId="0" fontId="5" fillId="9" borderId="0" xfId="10" applyFont="1" applyFill="1" applyAlignment="1">
      <alignment horizontal="left" vertical="center"/>
    </xf>
    <xf numFmtId="0" fontId="5" fillId="9" borderId="0" xfId="10" applyFont="1" applyFill="1" applyAlignment="1">
      <alignment vertical="center"/>
    </xf>
    <xf numFmtId="0" fontId="6" fillId="9" borderId="0" xfId="0" applyFont="1" applyFill="1" applyAlignment="1">
      <alignment horizontal="left" vertical="center"/>
    </xf>
    <xf numFmtId="0" fontId="102" fillId="9" borderId="0" xfId="10" applyFont="1" applyFill="1" applyAlignment="1">
      <alignment vertical="center"/>
    </xf>
    <xf numFmtId="0" fontId="103" fillId="9" borderId="0" xfId="10" applyFont="1" applyFill="1" applyAlignment="1">
      <alignment vertical="center"/>
    </xf>
    <xf numFmtId="0" fontId="102" fillId="9" borderId="0" xfId="10" applyFont="1" applyFill="1" applyAlignment="1">
      <alignment horizontal="left" vertical="center"/>
    </xf>
    <xf numFmtId="0" fontId="101" fillId="9" borderId="0" xfId="10" applyFont="1" applyFill="1" applyAlignment="1">
      <alignment horizontal="left" vertical="center"/>
    </xf>
    <xf numFmtId="0" fontId="5" fillId="3" borderId="16" xfId="10" applyFont="1" applyFill="1" applyBorder="1" applyAlignment="1" applyProtection="1">
      <alignment horizontal="left" vertical="top" wrapText="1"/>
      <protection locked="0"/>
    </xf>
    <xf numFmtId="0" fontId="5" fillId="3" borderId="17" xfId="10" applyFont="1" applyFill="1" applyBorder="1" applyAlignment="1" applyProtection="1">
      <alignment horizontal="left" vertical="top" wrapText="1"/>
      <protection locked="0"/>
    </xf>
    <xf numFmtId="0" fontId="5" fillId="3" borderId="35" xfId="10" applyFont="1" applyFill="1" applyBorder="1" applyAlignment="1" applyProtection="1">
      <alignment horizontal="left" vertical="top" wrapText="1"/>
      <protection locked="0"/>
    </xf>
    <xf numFmtId="168" fontId="5" fillId="2" borderId="16" xfId="10" applyNumberFormat="1" applyFont="1" applyFill="1" applyBorder="1" applyAlignment="1">
      <alignment horizontal="center" vertical="center"/>
    </xf>
    <xf numFmtId="168" fontId="5" fillId="2" borderId="13" xfId="10" applyNumberFormat="1" applyFont="1" applyFill="1" applyBorder="1" applyAlignment="1">
      <alignment horizontal="center" vertical="center"/>
    </xf>
    <xf numFmtId="165" fontId="5" fillId="7" borderId="16" xfId="10" applyNumberFormat="1" applyFont="1" applyFill="1" applyBorder="1" applyAlignment="1" applyProtection="1">
      <alignment horizontal="center" vertical="center"/>
      <protection locked="0"/>
    </xf>
    <xf numFmtId="165" fontId="5" fillId="7" borderId="13" xfId="10" applyNumberFormat="1" applyFont="1" applyFill="1" applyBorder="1" applyAlignment="1" applyProtection="1">
      <alignment horizontal="center" vertical="center"/>
      <protection locked="0"/>
    </xf>
    <xf numFmtId="0" fontId="5" fillId="2" borderId="13" xfId="10" applyFont="1" applyFill="1" applyBorder="1" applyAlignment="1">
      <alignment horizontal="center" vertical="center"/>
    </xf>
    <xf numFmtId="165" fontId="5" fillId="2" borderId="16" xfId="10" applyNumberFormat="1" applyFont="1" applyFill="1" applyBorder="1" applyAlignment="1">
      <alignment horizontal="center" vertical="center"/>
    </xf>
    <xf numFmtId="165" fontId="5" fillId="2" borderId="13" xfId="10" applyNumberFormat="1" applyFont="1" applyFill="1" applyBorder="1" applyAlignment="1">
      <alignment horizontal="center" vertical="center"/>
    </xf>
    <xf numFmtId="1" fontId="5" fillId="2" borderId="16" xfId="0" applyNumberFormat="1" applyFont="1" applyFill="1" applyBorder="1" applyAlignment="1">
      <alignment horizontal="center" vertical="center"/>
    </xf>
    <xf numFmtId="1" fontId="5" fillId="2" borderId="13" xfId="0" applyNumberFormat="1" applyFont="1" applyFill="1" applyBorder="1" applyAlignment="1">
      <alignment horizontal="center" vertical="center"/>
    </xf>
    <xf numFmtId="0" fontId="5" fillId="0" borderId="0" xfId="23" applyFont="1" applyAlignment="1">
      <alignment horizontal="center" vertical="center"/>
    </xf>
    <xf numFmtId="2" fontId="5" fillId="2" borderId="16" xfId="10" applyNumberFormat="1" applyFont="1" applyFill="1" applyBorder="1" applyAlignment="1">
      <alignment horizontal="center" vertical="center"/>
    </xf>
    <xf numFmtId="165" fontId="5" fillId="15" borderId="16" xfId="10" applyNumberFormat="1" applyFont="1" applyFill="1" applyBorder="1" applyAlignment="1" applyProtection="1">
      <alignment horizontal="center" vertical="center"/>
      <protection locked="0"/>
    </xf>
    <xf numFmtId="165" fontId="5" fillId="15" borderId="13" xfId="10" applyNumberFormat="1" applyFont="1" applyFill="1" applyBorder="1" applyAlignment="1" applyProtection="1">
      <alignment horizontal="center" vertical="center"/>
      <protection locked="0"/>
    </xf>
    <xf numFmtId="165" fontId="5" fillId="2" borderId="16" xfId="0" applyNumberFormat="1" applyFont="1" applyFill="1" applyBorder="1" applyAlignment="1">
      <alignment horizontal="center" vertical="center"/>
    </xf>
    <xf numFmtId="165" fontId="5" fillId="2" borderId="13" xfId="0" applyNumberFormat="1" applyFont="1" applyFill="1" applyBorder="1" applyAlignment="1">
      <alignment horizontal="center" vertical="center"/>
    </xf>
    <xf numFmtId="2" fontId="5" fillId="2" borderId="16" xfId="10" applyNumberFormat="1" applyFont="1" applyFill="1" applyBorder="1" applyAlignment="1" applyProtection="1">
      <alignment horizontal="center" vertical="center"/>
      <protection locked="0"/>
    </xf>
    <xf numFmtId="2" fontId="5" fillId="2" borderId="13" xfId="10" applyNumberFormat="1" applyFont="1" applyFill="1" applyBorder="1" applyAlignment="1" applyProtection="1">
      <alignment horizontal="center" vertical="center"/>
      <protection locked="0"/>
    </xf>
    <xf numFmtId="165" fontId="5" fillId="0" borderId="0" xfId="10" applyNumberFormat="1" applyFont="1" applyAlignment="1">
      <alignment horizontal="center" vertical="center"/>
    </xf>
    <xf numFmtId="165" fontId="5" fillId="2" borderId="16" xfId="10" applyNumberFormat="1" applyFont="1" applyFill="1" applyBorder="1" applyAlignment="1">
      <alignment horizontal="center" vertical="center" wrapText="1"/>
    </xf>
    <xf numFmtId="165" fontId="5" fillId="2" borderId="13" xfId="10" applyNumberFormat="1" applyFont="1" applyFill="1" applyBorder="1" applyAlignment="1">
      <alignment horizontal="center" vertical="center" wrapText="1"/>
    </xf>
    <xf numFmtId="2" fontId="5" fillId="2" borderId="13" xfId="10" applyNumberFormat="1" applyFont="1" applyFill="1" applyBorder="1" applyAlignment="1">
      <alignment horizontal="center" vertical="center"/>
    </xf>
    <xf numFmtId="49" fontId="23" fillId="0" borderId="0" xfId="10" applyNumberFormat="1" applyFont="1" applyAlignment="1">
      <alignment horizontal="center" vertical="center" wrapText="1"/>
    </xf>
    <xf numFmtId="1" fontId="5" fillId="2" borderId="16" xfId="10" applyNumberFormat="1" applyFont="1" applyFill="1" applyBorder="1" applyAlignment="1">
      <alignment horizontal="center" vertical="center"/>
    </xf>
    <xf numFmtId="1" fontId="5" fillId="2" borderId="13" xfId="10" applyNumberFormat="1" applyFont="1" applyFill="1" applyBorder="1" applyAlignment="1">
      <alignment horizontal="center" vertical="center"/>
    </xf>
    <xf numFmtId="0" fontId="5" fillId="2" borderId="25" xfId="0" applyFont="1" applyFill="1" applyBorder="1" applyAlignment="1">
      <alignment horizontal="left" vertical="center"/>
    </xf>
    <xf numFmtId="167" fontId="5" fillId="2" borderId="16" xfId="10" applyNumberFormat="1" applyFont="1" applyFill="1" applyBorder="1" applyAlignment="1">
      <alignment horizontal="center" vertical="center"/>
    </xf>
    <xf numFmtId="167" fontId="5" fillId="2" borderId="13" xfId="10" applyNumberFormat="1" applyFont="1" applyFill="1" applyBorder="1" applyAlignment="1">
      <alignment horizontal="center" vertical="center"/>
    </xf>
    <xf numFmtId="2" fontId="5" fillId="15" borderId="16" xfId="10" applyNumberFormat="1" applyFont="1" applyFill="1" applyBorder="1" applyAlignment="1" applyProtection="1">
      <alignment horizontal="center" vertical="center"/>
      <protection locked="0"/>
    </xf>
    <xf numFmtId="2" fontId="5" fillId="15" borderId="13" xfId="10" applyNumberFormat="1" applyFont="1" applyFill="1" applyBorder="1" applyAlignment="1" applyProtection="1">
      <alignment horizontal="center" vertical="center"/>
      <protection locked="0"/>
    </xf>
    <xf numFmtId="0" fontId="5" fillId="2" borderId="25" xfId="0" applyFont="1" applyFill="1" applyBorder="1" applyAlignment="1">
      <alignment horizontal="right" vertical="center"/>
    </xf>
    <xf numFmtId="0" fontId="5" fillId="0" borderId="6" xfId="10" applyFont="1" applyBorder="1" applyAlignment="1">
      <alignment horizontal="left" vertical="center"/>
    </xf>
    <xf numFmtId="0" fontId="5" fillId="0" borderId="7" xfId="10" applyFont="1" applyBorder="1" applyAlignment="1">
      <alignment horizontal="left" vertical="center"/>
    </xf>
    <xf numFmtId="1" fontId="5" fillId="13" borderId="16" xfId="23" applyNumberFormat="1" applyFont="1" applyFill="1" applyBorder="1" applyAlignment="1">
      <alignment horizontal="center" vertical="center"/>
    </xf>
    <xf numFmtId="1" fontId="5" fillId="13" borderId="13" xfId="23" applyNumberFormat="1" applyFont="1" applyFill="1" applyBorder="1" applyAlignment="1">
      <alignment horizontal="center" vertical="center"/>
    </xf>
    <xf numFmtId="0" fontId="5" fillId="0" borderId="0" xfId="10" applyFont="1" applyAlignment="1">
      <alignment horizontal="right" vertical="center" wrapText="1"/>
    </xf>
    <xf numFmtId="0" fontId="5" fillId="0" borderId="7" xfId="10" applyFont="1" applyBorder="1" applyAlignment="1">
      <alignment horizontal="right" vertical="center" wrapText="1"/>
    </xf>
    <xf numFmtId="0" fontId="5" fillId="0" borderId="0" xfId="23" applyFont="1" applyAlignment="1">
      <alignment horizontal="left" vertical="center" wrapText="1"/>
    </xf>
    <xf numFmtId="0" fontId="5" fillId="0" borderId="1" xfId="23" applyFont="1" applyBorder="1" applyAlignment="1">
      <alignment horizontal="left" vertical="center" wrapText="1"/>
    </xf>
    <xf numFmtId="170" fontId="5" fillId="2" borderId="16" xfId="10" applyNumberFormat="1" applyFont="1" applyFill="1" applyBorder="1" applyAlignment="1">
      <alignment horizontal="center" vertical="center"/>
    </xf>
    <xf numFmtId="170" fontId="5" fillId="2" borderId="13" xfId="10" applyNumberFormat="1" applyFont="1" applyFill="1" applyBorder="1" applyAlignment="1">
      <alignment horizontal="center" vertical="center"/>
    </xf>
    <xf numFmtId="0" fontId="5" fillId="15" borderId="16" xfId="0" applyFont="1" applyFill="1" applyBorder="1" applyAlignment="1" applyProtection="1">
      <alignment horizontal="center" vertical="center"/>
      <protection locked="0"/>
    </xf>
    <xf numFmtId="0" fontId="5" fillId="15" borderId="13" xfId="0" applyFont="1" applyFill="1" applyBorder="1" applyAlignment="1" applyProtection="1">
      <alignment horizontal="center" vertical="center"/>
      <protection locked="0"/>
    </xf>
    <xf numFmtId="0" fontId="5" fillId="0" borderId="6" xfId="23" applyFont="1" applyBorder="1" applyAlignment="1">
      <alignment horizontal="left" vertical="center"/>
    </xf>
    <xf numFmtId="0" fontId="3" fillId="0" borderId="7" xfId="23" applyBorder="1" applyAlignment="1">
      <alignment horizontal="left" vertical="center"/>
    </xf>
    <xf numFmtId="0" fontId="5" fillId="12" borderId="16" xfId="0" applyFont="1" applyFill="1" applyBorder="1" applyAlignment="1">
      <alignment horizontal="center" vertical="center"/>
    </xf>
    <xf numFmtId="0" fontId="5" fillId="12" borderId="13" xfId="0" applyFont="1" applyFill="1" applyBorder="1" applyAlignment="1">
      <alignment horizontal="center" vertical="center"/>
    </xf>
    <xf numFmtId="0" fontId="5" fillId="2" borderId="25" xfId="10" applyFont="1" applyFill="1" applyBorder="1" applyAlignment="1">
      <alignment horizontal="right" vertical="center"/>
    </xf>
    <xf numFmtId="0" fontId="5" fillId="2" borderId="26" xfId="10" applyFont="1" applyFill="1" applyBorder="1" applyAlignment="1">
      <alignment horizontal="right" vertical="center"/>
    </xf>
    <xf numFmtId="0" fontId="5" fillId="0" borderId="0" xfId="10" applyFont="1" applyAlignment="1">
      <alignment horizontal="center" vertical="center" wrapText="1"/>
    </xf>
    <xf numFmtId="0" fontId="5" fillId="0" borderId="1" xfId="10" applyFont="1" applyBorder="1" applyAlignment="1">
      <alignment horizontal="center" vertical="center" wrapText="1"/>
    </xf>
    <xf numFmtId="0" fontId="5" fillId="0" borderId="2" xfId="10" applyFont="1" applyBorder="1" applyAlignment="1">
      <alignment horizontal="center" vertical="center" wrapText="1"/>
    </xf>
    <xf numFmtId="0" fontId="5" fillId="0" borderId="21" xfId="10" applyFont="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 fontId="3" fillId="2" borderId="13" xfId="10" applyNumberFormat="1" applyFont="1" applyFill="1" applyBorder="1" applyAlignment="1">
      <alignment vertical="center"/>
    </xf>
    <xf numFmtId="1" fontId="5" fillId="11" borderId="16" xfId="10" applyNumberFormat="1" applyFont="1" applyFill="1" applyBorder="1" applyAlignment="1" applyProtection="1">
      <alignment horizontal="center" vertical="center"/>
      <protection locked="0"/>
    </xf>
    <xf numFmtId="1" fontId="5" fillId="11" borderId="13" xfId="10" applyNumberFormat="1" applyFont="1" applyFill="1" applyBorder="1" applyAlignment="1" applyProtection="1">
      <alignment horizontal="center" vertical="center"/>
      <protection locked="0"/>
    </xf>
    <xf numFmtId="168" fontId="5" fillId="2" borderId="16" xfId="23" applyNumberFormat="1" applyFont="1" applyFill="1" applyBorder="1" applyAlignment="1">
      <alignment horizontal="center" vertical="center"/>
    </xf>
    <xf numFmtId="0" fontId="3" fillId="2" borderId="13" xfId="23" applyFill="1" applyBorder="1" applyAlignment="1">
      <alignment vertical="center"/>
    </xf>
    <xf numFmtId="0" fontId="5" fillId="15" borderId="16" xfId="10" applyFont="1" applyFill="1" applyBorder="1" applyAlignment="1" applyProtection="1">
      <alignment horizontal="center" vertical="center"/>
      <protection locked="0"/>
    </xf>
    <xf numFmtId="0" fontId="5" fillId="15" borderId="17" xfId="10" applyFont="1" applyFill="1" applyBorder="1" applyAlignment="1" applyProtection="1">
      <alignment horizontal="center" vertical="center"/>
      <protection locked="0"/>
    </xf>
    <xf numFmtId="0" fontId="5" fillId="15" borderId="13" xfId="10" applyFont="1" applyFill="1" applyBorder="1" applyAlignment="1" applyProtection="1">
      <alignment horizontal="center" vertical="center"/>
      <protection locked="0"/>
    </xf>
    <xf numFmtId="168" fontId="5" fillId="2" borderId="13" xfId="23" applyNumberFormat="1" applyFont="1" applyFill="1" applyBorder="1" applyAlignment="1">
      <alignment horizontal="center" vertical="center"/>
    </xf>
    <xf numFmtId="0" fontId="5" fillId="0" borderId="0" xfId="23" applyFont="1" applyAlignment="1" applyProtection="1">
      <alignment horizontal="center" vertical="center"/>
      <protection locked="0"/>
    </xf>
    <xf numFmtId="1" fontId="5" fillId="15" borderId="16" xfId="10" applyNumberFormat="1" applyFont="1" applyFill="1" applyBorder="1" applyAlignment="1" applyProtection="1">
      <alignment horizontal="center" vertical="center"/>
      <protection locked="0"/>
    </xf>
    <xf numFmtId="1" fontId="5" fillId="15" borderId="13" xfId="10" applyNumberFormat="1" applyFont="1" applyFill="1" applyBorder="1" applyAlignment="1" applyProtection="1">
      <alignment horizontal="center" vertical="center"/>
      <protection locked="0"/>
    </xf>
    <xf numFmtId="168" fontId="5" fillId="0" borderId="0" xfId="23" applyNumberFormat="1" applyFont="1" applyAlignment="1">
      <alignment horizontal="center" vertical="center"/>
    </xf>
    <xf numFmtId="0" fontId="3" fillId="0" borderId="0" xfId="23" applyAlignment="1">
      <alignment horizontal="center"/>
    </xf>
    <xf numFmtId="0" fontId="100" fillId="0" borderId="0" xfId="23" applyFont="1" applyAlignment="1">
      <alignment horizontal="center" vertical="center"/>
    </xf>
    <xf numFmtId="0" fontId="5" fillId="0" borderId="6" xfId="54" applyFont="1" applyBorder="1" applyAlignment="1">
      <alignment wrapText="1"/>
    </xf>
    <xf numFmtId="0" fontId="3" fillId="0" borderId="0" xfId="54" applyAlignment="1">
      <alignment wrapText="1"/>
    </xf>
    <xf numFmtId="0" fontId="3" fillId="0" borderId="7" xfId="54" applyBorder="1" applyAlignment="1">
      <alignment wrapText="1"/>
    </xf>
    <xf numFmtId="0" fontId="5" fillId="0" borderId="6" xfId="54" applyFont="1" applyBorder="1"/>
    <xf numFmtId="0" fontId="3" fillId="0" borderId="0" xfId="54"/>
    <xf numFmtId="0" fontId="3" fillId="0" borderId="7" xfId="54" applyBorder="1"/>
    <xf numFmtId="0" fontId="16" fillId="0" borderId="4" xfId="54" applyFont="1" applyBorder="1" applyAlignment="1">
      <alignment horizontal="center" wrapText="1"/>
    </xf>
    <xf numFmtId="0" fontId="5" fillId="0" borderId="10" xfId="54" applyFont="1" applyBorder="1" applyAlignment="1">
      <alignment wrapText="1"/>
    </xf>
    <xf numFmtId="0" fontId="3" fillId="0" borderId="9" xfId="54" applyBorder="1" applyAlignment="1">
      <alignment wrapText="1"/>
    </xf>
    <xf numFmtId="0" fontId="3" fillId="0" borderId="11" xfId="54" applyBorder="1" applyAlignment="1">
      <alignment wrapText="1"/>
    </xf>
    <xf numFmtId="0" fontId="5" fillId="0" borderId="6" xfId="8" applyFont="1" applyBorder="1" applyAlignment="1" applyProtection="1">
      <alignment wrapText="1"/>
    </xf>
    <xf numFmtId="0" fontId="5" fillId="0" borderId="6" xfId="54" applyFont="1" applyBorder="1" applyAlignment="1">
      <alignment horizontal="left" wrapText="1"/>
    </xf>
    <xf numFmtId="0" fontId="5" fillId="7" borderId="16" xfId="54" applyFont="1" applyFill="1" applyBorder="1"/>
    <xf numFmtId="0" fontId="3" fillId="7" borderId="17" xfId="54" applyFill="1" applyBorder="1"/>
    <xf numFmtId="0" fontId="3" fillId="7" borderId="13" xfId="54" applyFill="1" applyBorder="1"/>
    <xf numFmtId="0" fontId="5" fillId="0" borderId="6" xfId="54" applyFont="1" applyBorder="1" applyAlignment="1">
      <alignment vertical="center" wrapText="1"/>
    </xf>
    <xf numFmtId="0" fontId="3" fillId="0" borderId="0" xfId="54" applyAlignment="1">
      <alignment vertical="center" wrapText="1"/>
    </xf>
    <xf numFmtId="0" fontId="3" fillId="0" borderId="7" xfId="54" applyBorder="1" applyAlignment="1">
      <alignment vertical="center" wrapText="1"/>
    </xf>
    <xf numFmtId="0" fontId="5" fillId="7" borderId="16" xfId="54" applyFont="1" applyFill="1" applyBorder="1" applyAlignment="1">
      <alignment horizontal="left"/>
    </xf>
    <xf numFmtId="0" fontId="5" fillId="7" borderId="17" xfId="54" applyFont="1" applyFill="1" applyBorder="1" applyAlignment="1">
      <alignment horizontal="left"/>
    </xf>
    <xf numFmtId="0" fontId="5" fillId="7" borderId="13" xfId="54" applyFont="1" applyFill="1" applyBorder="1" applyAlignment="1">
      <alignment horizontal="left"/>
    </xf>
    <xf numFmtId="0" fontId="5" fillId="0" borderId="10" xfId="54" applyFont="1" applyBorder="1" applyAlignment="1">
      <alignment horizontal="left" wrapText="1"/>
    </xf>
    <xf numFmtId="0" fontId="5" fillId="0" borderId="9" xfId="54" applyFont="1" applyBorder="1" applyAlignment="1">
      <alignment horizontal="left" wrapText="1"/>
    </xf>
    <xf numFmtId="0" fontId="5" fillId="0" borderId="11" xfId="54" applyFont="1" applyBorder="1" applyAlignment="1">
      <alignment horizontal="left" wrapText="1"/>
    </xf>
    <xf numFmtId="0" fontId="5" fillId="0" borderId="3" xfId="54" applyFont="1" applyBorder="1" applyAlignment="1">
      <alignment wrapText="1"/>
    </xf>
    <xf numFmtId="0" fontId="3" fillId="0" borderId="4" xfId="54" applyBorder="1" applyAlignment="1">
      <alignment wrapText="1"/>
    </xf>
    <xf numFmtId="0" fontId="3" fillId="0" borderId="5" xfId="54" applyBorder="1" applyAlignment="1">
      <alignment wrapText="1"/>
    </xf>
    <xf numFmtId="0" fontId="5" fillId="0" borderId="3" xfId="54" applyFont="1" applyBorder="1"/>
    <xf numFmtId="0" fontId="5" fillId="0" borderId="4" xfId="54" applyFont="1" applyBorder="1"/>
    <xf numFmtId="0" fontId="5" fillId="0" borderId="5" xfId="54" applyFont="1" applyBorder="1"/>
    <xf numFmtId="0" fontId="5" fillId="0" borderId="0" xfId="0" applyFont="1" applyAlignment="1">
      <alignment horizontal="lef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0" xfId="0" applyFont="1" applyAlignment="1">
      <alignment horizontal="left" vertical="center" wrapText="1"/>
    </xf>
    <xf numFmtId="0" fontId="5" fillId="0" borderId="7" xfId="0" applyFont="1" applyBorder="1" applyAlignment="1">
      <alignment horizontal="left" vertical="center" wrapText="1"/>
    </xf>
    <xf numFmtId="165" fontId="5" fillId="0" borderId="0" xfId="0" applyNumberFormat="1" applyFont="1" applyAlignment="1">
      <alignment horizontal="center" vertical="center"/>
    </xf>
    <xf numFmtId="173" fontId="5" fillId="7" borderId="4" xfId="0" applyNumberFormat="1" applyFont="1" applyFill="1" applyBorder="1" applyAlignment="1" applyProtection="1">
      <alignment horizontal="center" vertical="center"/>
      <protection locked="0"/>
    </xf>
    <xf numFmtId="0" fontId="5" fillId="11" borderId="16" xfId="0" applyFont="1" applyFill="1" applyBorder="1" applyAlignment="1" applyProtection="1">
      <alignment horizontal="center" vertical="center"/>
      <protection locked="0"/>
    </xf>
    <xf numFmtId="0" fontId="5" fillId="11" borderId="17" xfId="0" applyFont="1" applyFill="1" applyBorder="1" applyAlignment="1" applyProtection="1">
      <alignment horizontal="center" vertical="center"/>
      <protection locked="0"/>
    </xf>
    <xf numFmtId="0" fontId="5" fillId="11" borderId="13" xfId="0" applyFont="1" applyFill="1" applyBorder="1" applyAlignment="1" applyProtection="1">
      <alignment horizontal="center" vertical="center"/>
      <protection locked="0"/>
    </xf>
    <xf numFmtId="164" fontId="5" fillId="2" borderId="16" xfId="0" applyNumberFormat="1" applyFont="1" applyFill="1" applyBorder="1" applyAlignment="1">
      <alignment horizontal="center" vertical="center"/>
    </xf>
    <xf numFmtId="164" fontId="5" fillId="2" borderId="13" xfId="0" applyNumberFormat="1" applyFont="1" applyFill="1" applyBorder="1" applyAlignment="1">
      <alignment horizontal="center" vertical="center"/>
    </xf>
    <xf numFmtId="0" fontId="7" fillId="2" borderId="16" xfId="55" applyFont="1" applyFill="1" applyBorder="1" applyAlignment="1">
      <alignment horizontal="center" vertical="center" wrapText="1"/>
    </xf>
    <xf numFmtId="0" fontId="7" fillId="2" borderId="13" xfId="55" applyFont="1" applyFill="1" applyBorder="1" applyAlignment="1">
      <alignment horizontal="center" vertical="center" wrapText="1"/>
    </xf>
    <xf numFmtId="165" fontId="7" fillId="7" borderId="16" xfId="55" applyNumberFormat="1" applyFont="1" applyFill="1" applyBorder="1" applyAlignment="1" applyProtection="1">
      <alignment horizontal="center" vertical="center"/>
      <protection locked="0"/>
    </xf>
    <xf numFmtId="165" fontId="7" fillId="7" borderId="17" xfId="55" applyNumberFormat="1" applyFont="1" applyFill="1" applyBorder="1" applyAlignment="1" applyProtection="1">
      <alignment horizontal="center" vertical="center"/>
      <protection locked="0"/>
    </xf>
    <xf numFmtId="165" fontId="7" fillId="7" borderId="13" xfId="55" applyNumberFormat="1" applyFont="1" applyFill="1" applyBorder="1" applyAlignment="1" applyProtection="1">
      <alignment horizontal="center" vertical="center"/>
      <protection locked="0"/>
    </xf>
    <xf numFmtId="165" fontId="5" fillId="0" borderId="0" xfId="0" applyNumberFormat="1" applyFont="1" applyAlignment="1">
      <alignment horizontal="right" vertical="center"/>
    </xf>
    <xf numFmtId="49" fontId="5" fillId="0" borderId="0" xfId="0" applyNumberFormat="1" applyFont="1" applyAlignment="1">
      <alignment horizontal="right" vertical="center"/>
    </xf>
    <xf numFmtId="49" fontId="5" fillId="0" borderId="7" xfId="0" applyNumberFormat="1" applyFont="1" applyBorder="1" applyAlignment="1">
      <alignment horizontal="right" vertical="center"/>
    </xf>
    <xf numFmtId="0" fontId="7" fillId="15" borderId="16" xfId="55" applyFont="1" applyFill="1" applyBorder="1" applyAlignment="1" applyProtection="1">
      <alignment horizontal="center" vertical="center"/>
      <protection locked="0"/>
    </xf>
    <xf numFmtId="0" fontId="7" fillId="15" borderId="13" xfId="55" applyFont="1" applyFill="1" applyBorder="1" applyAlignment="1" applyProtection="1">
      <alignment horizontal="center" vertical="center"/>
      <protection locked="0"/>
    </xf>
    <xf numFmtId="165" fontId="5" fillId="2" borderId="16" xfId="0" applyNumberFormat="1" applyFont="1" applyFill="1" applyBorder="1" applyAlignment="1" applyProtection="1">
      <alignment horizontal="center" vertical="center"/>
      <protection hidden="1"/>
    </xf>
    <xf numFmtId="165" fontId="5" fillId="2" borderId="13" xfId="0" applyNumberFormat="1" applyFont="1" applyFill="1" applyBorder="1" applyAlignment="1" applyProtection="1">
      <alignment horizontal="center" vertical="center"/>
      <protection hidden="1"/>
    </xf>
    <xf numFmtId="165" fontId="5" fillId="2" borderId="16" xfId="0" applyNumberFormat="1" applyFont="1" applyFill="1" applyBorder="1" applyAlignment="1">
      <alignment horizontal="center"/>
    </xf>
    <xf numFmtId="165" fontId="5" fillId="2" borderId="13" xfId="0" applyNumberFormat="1" applyFont="1" applyFill="1" applyBorder="1" applyAlignment="1">
      <alignment horizontal="center"/>
    </xf>
    <xf numFmtId="0" fontId="75" fillId="0" borderId="0" xfId="0" applyFont="1" applyAlignment="1">
      <alignment horizontal="right" vertical="center"/>
    </xf>
    <xf numFmtId="0" fontId="75" fillId="0" borderId="7" xfId="0" applyFont="1" applyBorder="1" applyAlignment="1">
      <alignment horizontal="right" vertical="center"/>
    </xf>
    <xf numFmtId="0" fontId="6" fillId="0" borderId="0" xfId="0" quotePrefix="1" applyFont="1" applyAlignment="1">
      <alignment vertical="center"/>
    </xf>
    <xf numFmtId="165" fontId="5" fillId="0" borderId="7" xfId="0" applyNumberFormat="1" applyFont="1" applyBorder="1" applyAlignment="1">
      <alignment horizontal="right" vertical="center"/>
    </xf>
    <xf numFmtId="49" fontId="7" fillId="2" borderId="16"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0" fontId="5" fillId="0" borderId="0" xfId="0" applyFont="1" applyAlignment="1">
      <alignment horizontal="center" vertical="center" wrapText="1"/>
    </xf>
    <xf numFmtId="2" fontId="5" fillId="2" borderId="16" xfId="0" applyNumberFormat="1" applyFont="1" applyFill="1" applyBorder="1" applyAlignment="1">
      <alignment horizontal="center" vertical="center"/>
    </xf>
    <xf numFmtId="2" fontId="5" fillId="2" borderId="13" xfId="0" applyNumberFormat="1" applyFont="1" applyFill="1" applyBorder="1" applyAlignment="1">
      <alignment horizontal="center" vertical="center"/>
    </xf>
    <xf numFmtId="0" fontId="7" fillId="15" borderId="17" xfId="55" applyFont="1" applyFill="1" applyBorder="1" applyAlignment="1" applyProtection="1">
      <alignment horizontal="center" vertical="center"/>
      <protection locked="0"/>
    </xf>
    <xf numFmtId="169" fontId="7" fillId="15" borderId="16" xfId="55" applyNumberFormat="1" applyFont="1" applyFill="1" applyBorder="1" applyAlignment="1" applyProtection="1">
      <alignment horizontal="center" vertical="center"/>
      <protection locked="0"/>
    </xf>
    <xf numFmtId="169" fontId="7" fillId="15" borderId="13" xfId="55" applyNumberFormat="1" applyFont="1" applyFill="1" applyBorder="1" applyAlignment="1" applyProtection="1">
      <alignment horizontal="center" vertical="center"/>
      <protection locked="0"/>
    </xf>
    <xf numFmtId="0" fontId="7" fillId="2" borderId="17" xfId="0" applyFont="1" applyFill="1" applyBorder="1"/>
    <xf numFmtId="0" fontId="7" fillId="2" borderId="13" xfId="0" applyFont="1" applyFill="1" applyBorder="1"/>
    <xf numFmtId="0" fontId="5" fillId="0" borderId="0" xfId="55" applyFont="1" applyAlignment="1">
      <alignment horizontal="right" vertical="center" wrapText="1"/>
    </xf>
    <xf numFmtId="0" fontId="5" fillId="0" borderId="0" xfId="55" applyFont="1" applyAlignment="1">
      <alignment horizontal="center" vertical="center"/>
    </xf>
    <xf numFmtId="0" fontId="5" fillId="0" borderId="7" xfId="55" applyFont="1" applyBorder="1" applyAlignment="1">
      <alignment horizontal="center" vertical="center"/>
    </xf>
    <xf numFmtId="0" fontId="5" fillId="11" borderId="10" xfId="0" applyFont="1" applyFill="1" applyBorder="1" applyAlignment="1" applyProtection="1">
      <alignment horizontal="left" vertical="top" wrapText="1"/>
      <protection locked="0"/>
    </xf>
    <xf numFmtId="0" fontId="5" fillId="11" borderId="9" xfId="0" applyFont="1" applyFill="1" applyBorder="1" applyAlignment="1" applyProtection="1">
      <alignment horizontal="left" vertical="top" wrapText="1"/>
      <protection locked="0"/>
    </xf>
    <xf numFmtId="0" fontId="5" fillId="11" borderId="11" xfId="0" applyFont="1" applyFill="1" applyBorder="1" applyAlignment="1" applyProtection="1">
      <alignment horizontal="left" vertical="top" wrapText="1"/>
      <protection locked="0"/>
    </xf>
    <xf numFmtId="0" fontId="5" fillId="11" borderId="3" xfId="0" applyFont="1" applyFill="1" applyBorder="1" applyAlignment="1" applyProtection="1">
      <alignment horizontal="left" vertical="top" wrapText="1"/>
      <protection locked="0"/>
    </xf>
    <xf numFmtId="0" fontId="5" fillId="11" borderId="4" xfId="0" applyFont="1" applyFill="1" applyBorder="1" applyAlignment="1" applyProtection="1">
      <alignment horizontal="left" vertical="top" wrapText="1"/>
      <protection locked="0"/>
    </xf>
    <xf numFmtId="0" fontId="5" fillId="11" borderId="5" xfId="0" applyFont="1" applyFill="1" applyBorder="1" applyAlignment="1" applyProtection="1">
      <alignment horizontal="left" vertical="top" wrapText="1"/>
      <protection locked="0"/>
    </xf>
    <xf numFmtId="165" fontId="7" fillId="15" borderId="10" xfId="55" applyNumberFormat="1" applyFont="1" applyFill="1" applyBorder="1" applyAlignment="1" applyProtection="1">
      <alignment horizontal="center" vertical="center"/>
      <protection locked="0"/>
    </xf>
    <xf numFmtId="165" fontId="7" fillId="15" borderId="11" xfId="55" applyNumberFormat="1" applyFont="1" applyFill="1" applyBorder="1" applyAlignment="1" applyProtection="1">
      <alignment horizontal="center" vertical="center"/>
      <protection locked="0"/>
    </xf>
    <xf numFmtId="0" fontId="7" fillId="11" borderId="16" xfId="0" applyFont="1" applyFill="1" applyBorder="1" applyAlignment="1" applyProtection="1">
      <alignment horizontal="center" vertical="center"/>
      <protection locked="0"/>
    </xf>
    <xf numFmtId="0" fontId="7" fillId="11" borderId="17"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7" fillId="0" borderId="0" xfId="0" applyFont="1" applyAlignment="1">
      <alignment horizontal="center"/>
    </xf>
    <xf numFmtId="0" fontId="7" fillId="7" borderId="16" xfId="55" applyFont="1" applyFill="1" applyBorder="1" applyAlignment="1" applyProtection="1">
      <alignment horizontal="center" vertical="center"/>
      <protection locked="0"/>
    </xf>
    <xf numFmtId="0" fontId="7" fillId="7" borderId="17" xfId="55" applyFont="1" applyFill="1" applyBorder="1" applyAlignment="1" applyProtection="1">
      <alignment horizontal="center" vertical="center"/>
      <protection locked="0"/>
    </xf>
    <xf numFmtId="0" fontId="7" fillId="7" borderId="13" xfId="55" applyFont="1" applyFill="1" applyBorder="1" applyAlignment="1" applyProtection="1">
      <alignment horizontal="center" vertical="center"/>
      <protection locked="0"/>
    </xf>
    <xf numFmtId="49" fontId="7" fillId="3" borderId="6" xfId="0" applyNumberFormat="1" applyFont="1" applyFill="1" applyBorder="1" applyAlignment="1">
      <alignment horizontal="center" vertical="center"/>
    </xf>
    <xf numFmtId="49" fontId="7" fillId="3" borderId="0" xfId="0" applyNumberFormat="1" applyFont="1" applyFill="1" applyAlignment="1">
      <alignment horizontal="center" vertical="center"/>
    </xf>
    <xf numFmtId="49" fontId="7" fillId="3" borderId="7" xfId="0" applyNumberFormat="1" applyFont="1" applyFill="1" applyBorder="1" applyAlignment="1">
      <alignment horizontal="center" vertical="center"/>
    </xf>
    <xf numFmtId="0" fontId="9" fillId="2" borderId="8" xfId="0" applyFont="1" applyFill="1" applyBorder="1" applyAlignment="1">
      <alignment horizontal="center" vertical="center"/>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3" xfId="0" applyFont="1" applyBorder="1" applyAlignment="1">
      <alignment horizontal="center" wrapText="1"/>
    </xf>
    <xf numFmtId="0" fontId="5" fillId="0" borderId="5" xfId="0" applyFont="1" applyBorder="1" applyAlignment="1">
      <alignment horizontal="center" wrapText="1"/>
    </xf>
    <xf numFmtId="1" fontId="5" fillId="2" borderId="16" xfId="0" applyNumberFormat="1" applyFont="1" applyFill="1" applyBorder="1" applyAlignment="1">
      <alignment horizontal="center"/>
    </xf>
    <xf numFmtId="1" fontId="5" fillId="2" borderId="13" xfId="0" applyNumberFormat="1" applyFont="1" applyFill="1" applyBorder="1" applyAlignment="1">
      <alignment horizont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5" fillId="0" borderId="0" xfId="0" applyFont="1" applyAlignment="1">
      <alignment horizontal="right"/>
    </xf>
    <xf numFmtId="0" fontId="5" fillId="0" borderId="7" xfId="0" applyFont="1" applyBorder="1" applyAlignment="1">
      <alignment horizontal="right"/>
    </xf>
    <xf numFmtId="0" fontId="5" fillId="0" borderId="14" xfId="0" applyFont="1" applyBorder="1" applyAlignment="1">
      <alignment horizontal="center" wrapText="1"/>
    </xf>
    <xf numFmtId="0" fontId="5" fillId="0" borderId="12" xfId="0" applyFont="1" applyBorder="1" applyAlignment="1">
      <alignment horizontal="center" wrapText="1"/>
    </xf>
    <xf numFmtId="0" fontId="5" fillId="3" borderId="6" xfId="0" applyFont="1" applyFill="1" applyBorder="1" applyAlignment="1">
      <alignment horizontal="center"/>
    </xf>
    <xf numFmtId="0" fontId="5" fillId="3" borderId="0" xfId="0" applyFont="1" applyFill="1" applyAlignment="1">
      <alignment horizontal="center"/>
    </xf>
    <xf numFmtId="0" fontId="5" fillId="3" borderId="7" xfId="0" applyFont="1" applyFill="1" applyBorder="1" applyAlignment="1">
      <alignment horizontal="center"/>
    </xf>
    <xf numFmtId="0" fontId="5" fillId="2" borderId="16" xfId="0" applyFont="1" applyFill="1" applyBorder="1" applyAlignment="1">
      <alignment horizontal="center"/>
    </xf>
    <xf numFmtId="0" fontId="5" fillId="2" borderId="13" xfId="0" applyFont="1" applyFill="1" applyBorder="1" applyAlignment="1">
      <alignment horizontal="center"/>
    </xf>
    <xf numFmtId="165" fontId="9" fillId="2" borderId="8" xfId="0" applyNumberFormat="1" applyFont="1" applyFill="1" applyBorder="1" applyAlignment="1">
      <alignment horizontal="center" vertical="center"/>
    </xf>
    <xf numFmtId="0" fontId="7" fillId="2" borderId="17" xfId="0" applyFont="1" applyFill="1" applyBorder="1" applyAlignment="1">
      <alignment horizontal="left" vertical="center"/>
    </xf>
    <xf numFmtId="0" fontId="7" fillId="2" borderId="13"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0" xfId="0" applyFont="1" applyAlignment="1">
      <alignment horizontal="center" vertical="center"/>
    </xf>
    <xf numFmtId="0" fontId="5" fillId="0" borderId="7" xfId="0" applyFont="1" applyBorder="1" applyAlignment="1">
      <alignment horizontal="center" vertical="center"/>
    </xf>
    <xf numFmtId="49" fontId="5" fillId="0" borderId="6" xfId="0" applyNumberFormat="1" applyFont="1" applyBorder="1" applyAlignment="1">
      <alignment horizontal="right" vertical="center"/>
    </xf>
    <xf numFmtId="49" fontId="5" fillId="7" borderId="16" xfId="0" applyNumberFormat="1" applyFont="1" applyFill="1" applyBorder="1" applyAlignment="1" applyProtection="1">
      <alignment horizontal="center" vertical="center"/>
      <protection locked="0"/>
    </xf>
    <xf numFmtId="49" fontId="5" fillId="7" borderId="17" xfId="0" applyNumberFormat="1" applyFont="1" applyFill="1" applyBorder="1" applyAlignment="1" applyProtection="1">
      <alignment horizontal="center" vertical="center"/>
      <protection locked="0"/>
    </xf>
    <xf numFmtId="49" fontId="3" fillId="7" borderId="17" xfId="0" applyNumberFormat="1" applyFont="1" applyFill="1" applyBorder="1"/>
    <xf numFmtId="49" fontId="3" fillId="7" borderId="13" xfId="0" applyNumberFormat="1" applyFont="1" applyFill="1" applyBorder="1"/>
    <xf numFmtId="1" fontId="5" fillId="7" borderId="16" xfId="0" applyNumberFormat="1" applyFont="1" applyFill="1" applyBorder="1" applyAlignment="1" applyProtection="1">
      <alignment horizontal="center" vertical="center"/>
      <protection locked="0"/>
    </xf>
    <xf numFmtId="1" fontId="5" fillId="7" borderId="13" xfId="0" applyNumberFormat="1"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7" fillId="3" borderId="10"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5" fillId="0" borderId="0" xfId="0" applyFont="1" applyAlignment="1">
      <alignment vertical="center"/>
    </xf>
    <xf numFmtId="49" fontId="16" fillId="0" borderId="4" xfId="0" applyNumberFormat="1" applyFont="1" applyBorder="1" applyAlignment="1">
      <alignment horizontal="center" vertical="center" wrapText="1"/>
    </xf>
    <xf numFmtId="0" fontId="7" fillId="2" borderId="17" xfId="0" applyFont="1" applyFill="1" applyBorder="1" applyAlignment="1">
      <alignment horizontal="left"/>
    </xf>
    <xf numFmtId="0" fontId="7" fillId="2" borderId="13" xfId="0" applyFont="1" applyFill="1" applyBorder="1" applyAlignment="1">
      <alignment horizontal="left"/>
    </xf>
    <xf numFmtId="49" fontId="7" fillId="0" borderId="6" xfId="0" applyNumberFormat="1" applyFont="1" applyBorder="1" applyAlignment="1">
      <alignment horizontal="right" vertical="center"/>
    </xf>
    <xf numFmtId="49" fontId="7" fillId="0" borderId="0" xfId="0" applyNumberFormat="1" applyFont="1" applyAlignment="1">
      <alignment horizontal="right" vertical="center"/>
    </xf>
    <xf numFmtId="49" fontId="7" fillId="0" borderId="7" xfId="0" applyNumberFormat="1" applyFont="1" applyBorder="1" applyAlignment="1">
      <alignment horizontal="right" vertical="center"/>
    </xf>
    <xf numFmtId="167" fontId="5" fillId="15" borderId="16" xfId="0" applyNumberFormat="1" applyFont="1" applyFill="1" applyBorder="1" applyAlignment="1" applyProtection="1">
      <alignment horizontal="center" vertical="center"/>
      <protection locked="0"/>
    </xf>
    <xf numFmtId="167" fontId="5" fillId="15" borderId="13" xfId="0" applyNumberFormat="1" applyFont="1" applyFill="1" applyBorder="1" applyAlignment="1" applyProtection="1">
      <alignment horizontal="center" vertical="center"/>
      <protection locked="0"/>
    </xf>
    <xf numFmtId="49" fontId="5" fillId="7" borderId="16" xfId="0" applyNumberFormat="1" applyFont="1" applyFill="1" applyBorder="1" applyAlignment="1" applyProtection="1">
      <alignment horizontal="left" vertical="center" wrapText="1"/>
      <protection locked="0"/>
    </xf>
    <xf numFmtId="49" fontId="5" fillId="7" borderId="17" xfId="0" applyNumberFormat="1" applyFont="1" applyFill="1" applyBorder="1" applyAlignment="1" applyProtection="1">
      <alignment horizontal="left" vertical="center" wrapText="1"/>
      <protection locked="0"/>
    </xf>
    <xf numFmtId="49" fontId="5" fillId="7" borderId="13" xfId="0" applyNumberFormat="1" applyFont="1" applyFill="1" applyBorder="1" applyAlignment="1" applyProtection="1">
      <alignment horizontal="left" vertical="center" wrapText="1"/>
      <protection locked="0"/>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11" borderId="16"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49" fontId="5" fillId="7" borderId="13" xfId="0" applyNumberFormat="1" applyFont="1" applyFill="1" applyBorder="1" applyAlignment="1" applyProtection="1">
      <alignment horizontal="center" vertical="center"/>
      <protection locked="0"/>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6" fillId="7" borderId="16" xfId="0" applyFont="1" applyFill="1" applyBorder="1" applyAlignment="1" applyProtection="1">
      <alignment horizontal="center" vertical="center"/>
      <protection locked="0"/>
    </xf>
    <xf numFmtId="0" fontId="6" fillId="7" borderId="13"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171" fontId="5" fillId="7" borderId="16" xfId="0" applyNumberFormat="1" applyFont="1" applyFill="1" applyBorder="1" applyAlignment="1" applyProtection="1">
      <alignment horizontal="center" vertical="center"/>
      <protection locked="0"/>
    </xf>
    <xf numFmtId="171" fontId="5" fillId="7" borderId="13" xfId="0" applyNumberFormat="1" applyFont="1" applyFill="1" applyBorder="1" applyAlignment="1" applyProtection="1">
      <alignment horizontal="center" vertical="center"/>
      <protection locked="0"/>
    </xf>
    <xf numFmtId="0" fontId="13" fillId="7" borderId="16" xfId="0"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5" fillId="0" borderId="6" xfId="0" applyFont="1" applyBorder="1" applyAlignment="1">
      <alignment horizontal="right" vertical="center"/>
    </xf>
    <xf numFmtId="1" fontId="5" fillId="15" borderId="16" xfId="0" applyNumberFormat="1" applyFont="1" applyFill="1" applyBorder="1" applyAlignment="1" applyProtection="1">
      <alignment horizontal="center" vertical="center"/>
      <protection locked="0"/>
    </xf>
    <xf numFmtId="1" fontId="5" fillId="15" borderId="13" xfId="0" applyNumberFormat="1" applyFont="1" applyFill="1" applyBorder="1" applyAlignment="1" applyProtection="1">
      <alignment horizontal="center" vertical="center"/>
      <protection locked="0"/>
    </xf>
    <xf numFmtId="0" fontId="5" fillId="0" borderId="9" xfId="0" applyFont="1" applyBorder="1" applyAlignment="1">
      <alignment horizontal="center" vertical="center"/>
    </xf>
    <xf numFmtId="1" fontId="5" fillId="2" borderId="16"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0" xfId="0" quotePrefix="1" applyFont="1" applyAlignment="1">
      <alignment vertical="center"/>
    </xf>
    <xf numFmtId="0" fontId="76" fillId="0" borderId="0" xfId="0" applyFont="1" applyAlignment="1">
      <alignment horizontal="left" vertical="top" wrapText="1"/>
    </xf>
    <xf numFmtId="0" fontId="76" fillId="0" borderId="7" xfId="0" applyFont="1" applyBorder="1" applyAlignment="1">
      <alignment horizontal="left" vertical="top" wrapText="1"/>
    </xf>
    <xf numFmtId="167" fontId="5" fillId="12" borderId="16" xfId="0" applyNumberFormat="1" applyFont="1" applyFill="1" applyBorder="1" applyAlignment="1">
      <alignment horizontal="center" vertical="center"/>
    </xf>
    <xf numFmtId="0" fontId="5" fillId="12" borderId="17" xfId="0" applyFont="1" applyFill="1" applyBorder="1" applyAlignment="1">
      <alignment horizontal="center" vertical="center"/>
    </xf>
    <xf numFmtId="0" fontId="7" fillId="11" borderId="16" xfId="0" applyFont="1" applyFill="1" applyBorder="1" applyAlignment="1" applyProtection="1">
      <alignment horizontal="center"/>
      <protection locked="0"/>
    </xf>
    <xf numFmtId="0" fontId="7" fillId="11" borderId="17" xfId="0" applyFont="1" applyFill="1" applyBorder="1" applyAlignment="1" applyProtection="1">
      <alignment horizontal="center"/>
      <protection locked="0"/>
    </xf>
    <xf numFmtId="0" fontId="7" fillId="11" borderId="13" xfId="0" applyFont="1" applyFill="1" applyBorder="1" applyAlignment="1" applyProtection="1">
      <alignment horizontal="center"/>
      <protection locked="0"/>
    </xf>
    <xf numFmtId="2" fontId="5" fillId="7" borderId="16" xfId="0" applyNumberFormat="1" applyFont="1" applyFill="1" applyBorder="1" applyAlignment="1" applyProtection="1">
      <alignment horizontal="center" vertical="center"/>
      <protection locked="0"/>
    </xf>
    <xf numFmtId="2" fontId="5" fillId="7" borderId="13" xfId="0" applyNumberFormat="1" applyFont="1" applyFill="1" applyBorder="1" applyAlignment="1" applyProtection="1">
      <alignment horizontal="center" vertical="center"/>
      <protection locked="0"/>
    </xf>
    <xf numFmtId="0" fontId="5" fillId="15" borderId="17" xfId="0" applyFont="1" applyFill="1" applyBorder="1" applyAlignment="1" applyProtection="1">
      <alignment horizontal="center" vertical="center"/>
      <protection locked="0"/>
    </xf>
    <xf numFmtId="0" fontId="5" fillId="7" borderId="16" xfId="0" applyFont="1" applyFill="1" applyBorder="1" applyAlignment="1" applyProtection="1">
      <alignment horizontal="center" vertical="center"/>
      <protection locked="0"/>
    </xf>
    <xf numFmtId="0" fontId="16" fillId="0" borderId="2" xfId="23" applyFont="1" applyBorder="1" applyAlignment="1">
      <alignment horizontal="center" vertical="center"/>
    </xf>
    <xf numFmtId="0" fontId="7" fillId="2" borderId="28" xfId="23" applyFont="1" applyFill="1" applyBorder="1" applyAlignment="1">
      <alignment horizontal="left" vertical="center" wrapText="1"/>
    </xf>
    <xf numFmtId="0" fontId="7" fillId="2" borderId="29" xfId="23" applyFont="1" applyFill="1" applyBorder="1" applyAlignment="1">
      <alignment horizontal="left" vertical="center" wrapText="1"/>
    </xf>
    <xf numFmtId="0" fontId="3" fillId="2" borderId="29" xfId="23" applyFill="1" applyBorder="1" applyAlignment="1">
      <alignment horizontal="right" wrapText="1"/>
    </xf>
    <xf numFmtId="0" fontId="3" fillId="2" borderId="29" xfId="23" applyFill="1" applyBorder="1" applyAlignment="1">
      <alignment horizontal="left" wrapText="1"/>
    </xf>
    <xf numFmtId="0" fontId="3" fillId="2" borderId="29" xfId="23" applyFill="1" applyBorder="1" applyAlignment="1">
      <alignment horizontal="center" wrapText="1"/>
    </xf>
    <xf numFmtId="0" fontId="3" fillId="2" borderId="30" xfId="23" applyFill="1" applyBorder="1" applyAlignment="1">
      <alignment horizontal="center" wrapText="1"/>
    </xf>
    <xf numFmtId="0" fontId="5" fillId="7" borderId="16" xfId="23" applyFont="1" applyFill="1" applyBorder="1" applyProtection="1">
      <protection locked="0"/>
    </xf>
    <xf numFmtId="0" fontId="5" fillId="7" borderId="17" xfId="23" applyFont="1" applyFill="1" applyBorder="1" applyProtection="1">
      <protection locked="0"/>
    </xf>
    <xf numFmtId="0" fontId="5" fillId="7" borderId="13" xfId="23" applyFont="1" applyFill="1" applyBorder="1" applyProtection="1">
      <protection locked="0"/>
    </xf>
    <xf numFmtId="0" fontId="7" fillId="0" borderId="20" xfId="23" applyFont="1" applyBorder="1" applyAlignment="1">
      <alignment horizontal="right" vertical="center" wrapText="1"/>
    </xf>
    <xf numFmtId="0" fontId="3" fillId="0" borderId="0" xfId="23" applyAlignment="1">
      <alignment horizontal="right" wrapText="1"/>
    </xf>
    <xf numFmtId="0" fontId="5" fillId="0" borderId="4" xfId="23" applyFont="1" applyBorder="1" applyAlignment="1" applyProtection="1">
      <alignment horizontal="left" vertical="center"/>
      <protection locked="0"/>
    </xf>
    <xf numFmtId="0" fontId="3" fillId="0" borderId="4" xfId="23" applyBorder="1" applyProtection="1">
      <protection locked="0"/>
    </xf>
    <xf numFmtId="0" fontId="3" fillId="0" borderId="34" xfId="23" applyBorder="1" applyProtection="1">
      <protection locked="0"/>
    </xf>
    <xf numFmtId="0" fontId="7" fillId="0" borderId="20" xfId="23" applyFont="1" applyBorder="1" applyAlignment="1">
      <alignment horizontal="right" vertical="center"/>
    </xf>
    <xf numFmtId="0" fontId="19" fillId="0" borderId="0" xfId="23" applyFont="1" applyAlignment="1">
      <alignment horizontal="right" vertical="center"/>
    </xf>
    <xf numFmtId="0" fontId="19" fillId="0" borderId="0" xfId="23" applyFont="1" applyAlignment="1">
      <alignment horizontal="right"/>
    </xf>
    <xf numFmtId="0" fontId="3" fillId="0" borderId="4" xfId="23" applyBorder="1" applyAlignment="1" applyProtection="1">
      <alignment horizontal="left" vertical="center"/>
      <protection locked="0"/>
    </xf>
    <xf numFmtId="0" fontId="5" fillId="7" borderId="10" xfId="23" applyFont="1" applyFill="1" applyBorder="1" applyProtection="1">
      <protection locked="0"/>
    </xf>
    <xf numFmtId="0" fontId="5" fillId="7" borderId="9" xfId="23" applyFont="1" applyFill="1" applyBorder="1" applyProtection="1">
      <protection locked="0"/>
    </xf>
    <xf numFmtId="0" fontId="3" fillId="7" borderId="9" xfId="23" applyFill="1" applyBorder="1" applyProtection="1">
      <protection locked="0"/>
    </xf>
    <xf numFmtId="0" fontId="3" fillId="7" borderId="11" xfId="23" applyFill="1" applyBorder="1" applyProtection="1">
      <protection locked="0"/>
    </xf>
    <xf numFmtId="0" fontId="3" fillId="7" borderId="6" xfId="23" applyFill="1" applyBorder="1" applyProtection="1">
      <protection locked="0"/>
    </xf>
    <xf numFmtId="0" fontId="3" fillId="7" borderId="0" xfId="23" applyFill="1" applyProtection="1">
      <protection locked="0"/>
    </xf>
    <xf numFmtId="0" fontId="3" fillId="7" borderId="7" xfId="23" applyFill="1" applyBorder="1" applyProtection="1">
      <protection locked="0"/>
    </xf>
    <xf numFmtId="0" fontId="3" fillId="7" borderId="3" xfId="23" applyFill="1" applyBorder="1" applyProtection="1">
      <protection locked="0"/>
    </xf>
    <xf numFmtId="0" fontId="3" fillId="7" borderId="4" xfId="23" applyFill="1" applyBorder="1" applyProtection="1">
      <protection locked="0"/>
    </xf>
    <xf numFmtId="0" fontId="3" fillId="7" borderId="5" xfId="23" applyFill="1" applyBorder="1" applyProtection="1">
      <protection locked="0"/>
    </xf>
    <xf numFmtId="49" fontId="5" fillId="0" borderId="10" xfId="23" applyNumberFormat="1" applyFont="1" applyBorder="1" applyAlignment="1" applyProtection="1">
      <alignment horizontal="left" vertical="top" wrapText="1"/>
      <protection locked="0"/>
    </xf>
    <xf numFmtId="49" fontId="5" fillId="0" borderId="9" xfId="23" applyNumberFormat="1" applyFont="1" applyBorder="1" applyAlignment="1" applyProtection="1">
      <alignment vertical="top" wrapText="1"/>
      <protection locked="0"/>
    </xf>
    <xf numFmtId="49" fontId="5" fillId="0" borderId="11" xfId="23" applyNumberFormat="1" applyFont="1" applyBorder="1" applyAlignment="1" applyProtection="1">
      <alignment vertical="top" wrapText="1"/>
      <protection locked="0"/>
    </xf>
    <xf numFmtId="49" fontId="5" fillId="0" borderId="6" xfId="23" applyNumberFormat="1" applyFont="1" applyBorder="1" applyAlignment="1" applyProtection="1">
      <alignment horizontal="left" vertical="top" wrapText="1"/>
      <protection locked="0"/>
    </xf>
    <xf numFmtId="49" fontId="5" fillId="0" borderId="0" xfId="23" applyNumberFormat="1" applyFont="1" applyAlignment="1" applyProtection="1">
      <alignment vertical="top" wrapText="1"/>
      <protection locked="0"/>
    </xf>
    <xf numFmtId="49" fontId="5" fillId="0" borderId="7" xfId="23" applyNumberFormat="1" applyFont="1" applyBorder="1" applyAlignment="1" applyProtection="1">
      <alignment vertical="top" wrapText="1"/>
      <protection locked="0"/>
    </xf>
    <xf numFmtId="49" fontId="5" fillId="0" borderId="3" xfId="23" applyNumberFormat="1" applyFont="1" applyBorder="1" applyAlignment="1" applyProtection="1">
      <alignment horizontal="left" vertical="top" wrapText="1"/>
      <protection locked="0"/>
    </xf>
    <xf numFmtId="49" fontId="5" fillId="0" borderId="4" xfId="23" applyNumberFormat="1" applyFont="1" applyBorder="1" applyAlignment="1" applyProtection="1">
      <alignment vertical="top" wrapText="1"/>
      <protection locked="0"/>
    </xf>
    <xf numFmtId="49" fontId="5" fillId="0" borderId="5" xfId="23" applyNumberFormat="1" applyFont="1" applyBorder="1" applyAlignment="1" applyProtection="1">
      <alignment vertical="top" wrapText="1"/>
      <protection locked="0"/>
    </xf>
    <xf numFmtId="169" fontId="5" fillId="2" borderId="16" xfId="23" applyNumberFormat="1" applyFont="1" applyFill="1" applyBorder="1" applyAlignment="1">
      <alignment horizontal="center" vertical="center"/>
    </xf>
    <xf numFmtId="169" fontId="5" fillId="2" borderId="13" xfId="23" applyNumberFormat="1" applyFont="1" applyFill="1" applyBorder="1" applyAlignment="1">
      <alignment horizontal="center" vertical="center"/>
    </xf>
    <xf numFmtId="165" fontId="5" fillId="3" borderId="0" xfId="23" applyNumberFormat="1" applyFont="1" applyFill="1" applyAlignment="1">
      <alignment horizontal="center" vertical="center"/>
    </xf>
    <xf numFmtId="0" fontId="5" fillId="0" borderId="0" xfId="23" applyFont="1" applyAlignment="1">
      <alignment horizontal="left" vertical="center"/>
    </xf>
    <xf numFmtId="0" fontId="3" fillId="0" borderId="0" xfId="23" applyAlignment="1">
      <alignment vertical="center"/>
    </xf>
    <xf numFmtId="0" fontId="5" fillId="7" borderId="16" xfId="23" applyFont="1" applyFill="1" applyBorder="1" applyAlignment="1" applyProtection="1">
      <alignment horizontal="center" vertical="center"/>
      <protection locked="0"/>
    </xf>
    <xf numFmtId="0" fontId="5" fillId="7" borderId="13" xfId="23" applyFont="1" applyFill="1" applyBorder="1" applyAlignment="1" applyProtection="1">
      <alignment horizontal="center" vertical="center"/>
      <protection locked="0"/>
    </xf>
    <xf numFmtId="0" fontId="5" fillId="0" borderId="8" xfId="23" applyFont="1" applyBorder="1" applyAlignment="1">
      <alignment horizontal="center" vertical="center"/>
    </xf>
    <xf numFmtId="9" fontId="5" fillId="0" borderId="8" xfId="23" applyNumberFormat="1" applyFont="1" applyBorder="1" applyAlignment="1">
      <alignment horizontal="center" vertical="center"/>
    </xf>
    <xf numFmtId="0" fontId="5" fillId="2" borderId="8" xfId="23" applyFont="1" applyFill="1" applyBorder="1" applyAlignment="1">
      <alignment horizontal="center" vertical="center" wrapText="1"/>
    </xf>
    <xf numFmtId="167" fontId="5" fillId="2" borderId="16" xfId="23" applyNumberFormat="1" applyFont="1" applyFill="1" applyBorder="1" applyAlignment="1">
      <alignment horizontal="center" vertical="center"/>
    </xf>
    <xf numFmtId="167" fontId="5" fillId="2" borderId="13" xfId="23" applyNumberFormat="1" applyFont="1" applyFill="1" applyBorder="1" applyAlignment="1">
      <alignment horizontal="center" vertical="center"/>
    </xf>
    <xf numFmtId="167" fontId="5" fillId="2" borderId="8" xfId="23" applyNumberFormat="1" applyFont="1" applyFill="1" applyBorder="1" applyAlignment="1">
      <alignment horizontal="center" vertical="center"/>
    </xf>
    <xf numFmtId="0" fontId="7" fillId="7" borderId="16" xfId="23" applyFont="1" applyFill="1" applyBorder="1" applyAlignment="1" applyProtection="1">
      <alignment horizontal="center" vertical="center"/>
      <protection locked="0"/>
    </xf>
    <xf numFmtId="0" fontId="7" fillId="7" borderId="17" xfId="23" applyFont="1" applyFill="1" applyBorder="1" applyAlignment="1" applyProtection="1">
      <alignment horizontal="center" vertical="center"/>
      <protection locked="0"/>
    </xf>
    <xf numFmtId="0" fontId="7" fillId="7" borderId="13" xfId="23" applyFont="1" applyFill="1" applyBorder="1" applyAlignment="1" applyProtection="1">
      <alignment horizontal="center" vertical="center"/>
      <protection locked="0"/>
    </xf>
    <xf numFmtId="167" fontId="5" fillId="2" borderId="16" xfId="23" applyNumberFormat="1" applyFont="1" applyFill="1" applyBorder="1" applyAlignment="1">
      <alignment horizontal="center" vertical="center" wrapText="1"/>
    </xf>
    <xf numFmtId="167" fontId="5" fillId="2" borderId="13" xfId="23" applyNumberFormat="1" applyFont="1" applyFill="1" applyBorder="1" applyAlignment="1">
      <alignment horizontal="center" vertical="center" wrapText="1"/>
    </xf>
    <xf numFmtId="49" fontId="16" fillId="0" borderId="2" xfId="23" applyNumberFormat="1" applyFont="1" applyBorder="1" applyAlignment="1">
      <alignment horizontal="center" vertical="center" wrapText="1"/>
    </xf>
    <xf numFmtId="167" fontId="5" fillId="7" borderId="16" xfId="23" applyNumberFormat="1" applyFont="1" applyFill="1" applyBorder="1" applyAlignment="1" applyProtection="1">
      <alignment horizontal="center" vertical="center"/>
      <protection locked="0"/>
    </xf>
    <xf numFmtId="167" fontId="5" fillId="7" borderId="13" xfId="23" applyNumberFormat="1" applyFont="1" applyFill="1" applyBorder="1" applyAlignment="1" applyProtection="1">
      <alignment horizontal="center" vertical="center"/>
      <protection locked="0"/>
    </xf>
    <xf numFmtId="1" fontId="3" fillId="2" borderId="13" xfId="23" applyNumberFormat="1" applyFill="1" applyBorder="1" applyAlignment="1">
      <alignment horizontal="center" vertical="center"/>
    </xf>
    <xf numFmtId="167" fontId="5" fillId="2" borderId="8" xfId="23" applyNumberFormat="1" applyFont="1" applyFill="1" applyBorder="1" applyAlignment="1" applyProtection="1">
      <alignment horizontal="center" vertical="center"/>
      <protection locked="0"/>
    </xf>
    <xf numFmtId="0" fontId="5" fillId="2" borderId="18" xfId="23" applyFont="1" applyFill="1" applyBorder="1" applyAlignment="1">
      <alignment horizontal="right" vertical="center"/>
    </xf>
    <xf numFmtId="0" fontId="3" fillId="2" borderId="13" xfId="23" applyFill="1" applyBorder="1" applyAlignment="1">
      <alignment horizontal="center" vertical="center"/>
    </xf>
    <xf numFmtId="0" fontId="5" fillId="0" borderId="0" xfId="23" applyFont="1" applyAlignment="1">
      <alignment horizontal="right" vertical="center"/>
    </xf>
    <xf numFmtId="0" fontId="5" fillId="2" borderId="10" xfId="23" applyFont="1" applyFill="1" applyBorder="1" applyAlignment="1">
      <alignment horizontal="center" vertical="center" wrapText="1"/>
    </xf>
    <xf numFmtId="0" fontId="5" fillId="2" borderId="11" xfId="23" applyFont="1" applyFill="1" applyBorder="1" applyAlignment="1">
      <alignment horizontal="center" vertical="center" wrapText="1"/>
    </xf>
    <xf numFmtId="0" fontId="5" fillId="2" borderId="3" xfId="23" applyFont="1" applyFill="1" applyBorder="1" applyAlignment="1">
      <alignment horizontal="center" vertical="center" wrapText="1"/>
    </xf>
    <xf numFmtId="0" fontId="5" fillId="2" borderId="5" xfId="23" applyFont="1" applyFill="1" applyBorder="1" applyAlignment="1">
      <alignment horizontal="center" vertical="center" wrapText="1"/>
    </xf>
    <xf numFmtId="0" fontId="5" fillId="0" borderId="7" xfId="23" applyFont="1" applyBorder="1" applyAlignment="1">
      <alignment horizontal="left" vertical="center"/>
    </xf>
    <xf numFmtId="167" fontId="3" fillId="2" borderId="13" xfId="23" applyNumberFormat="1" applyFill="1" applyBorder="1" applyAlignment="1">
      <alignment vertical="center"/>
    </xf>
    <xf numFmtId="165" fontId="5" fillId="2" borderId="16" xfId="23" applyNumberFormat="1" applyFont="1" applyFill="1" applyBorder="1" applyAlignment="1">
      <alignment horizontal="center" vertical="center"/>
    </xf>
    <xf numFmtId="165" fontId="5" fillId="2" borderId="13" xfId="23" applyNumberFormat="1" applyFont="1" applyFill="1" applyBorder="1" applyAlignment="1">
      <alignment horizontal="center" vertical="center"/>
    </xf>
    <xf numFmtId="1" fontId="5" fillId="3" borderId="0" xfId="23" applyNumberFormat="1" applyFont="1" applyFill="1" applyAlignment="1">
      <alignment horizontal="center" vertical="center"/>
    </xf>
    <xf numFmtId="0" fontId="5" fillId="13" borderId="16" xfId="23" applyFont="1" applyFill="1" applyBorder="1" applyAlignment="1">
      <alignment horizontal="center" vertical="center"/>
    </xf>
    <xf numFmtId="0" fontId="5" fillId="13" borderId="13" xfId="23" applyFont="1" applyFill="1" applyBorder="1" applyAlignment="1">
      <alignment horizontal="center" vertical="center"/>
    </xf>
    <xf numFmtId="0" fontId="5" fillId="2" borderId="23" xfId="23" applyFont="1" applyFill="1" applyBorder="1" applyAlignment="1">
      <alignment horizontal="right" vertical="center"/>
    </xf>
    <xf numFmtId="165" fontId="78" fillId="7" borderId="16" xfId="23" applyNumberFormat="1" applyFont="1" applyFill="1" applyBorder="1" applyAlignment="1" applyProtection="1">
      <alignment horizontal="center" vertical="center"/>
      <protection locked="0"/>
    </xf>
    <xf numFmtId="165" fontId="78" fillId="7" borderId="13" xfId="23" applyNumberFormat="1" applyFont="1" applyFill="1" applyBorder="1" applyAlignment="1" applyProtection="1">
      <alignment horizontal="center" vertical="center"/>
      <protection locked="0"/>
    </xf>
    <xf numFmtId="0" fontId="5" fillId="2" borderId="18" xfId="23" applyFont="1" applyFill="1" applyBorder="1" applyAlignment="1">
      <alignment horizontal="left" vertical="center"/>
    </xf>
    <xf numFmtId="0" fontId="5" fillId="7" borderId="17" xfId="23" applyFont="1" applyFill="1" applyBorder="1" applyAlignment="1" applyProtection="1">
      <alignment horizontal="center" vertical="center"/>
      <protection locked="0"/>
    </xf>
    <xf numFmtId="0" fontId="5" fillId="7" borderId="16" xfId="23" applyFont="1" applyFill="1" applyBorder="1" applyAlignment="1" applyProtection="1">
      <alignment horizontal="left" vertical="center"/>
      <protection locked="0"/>
    </xf>
    <xf numFmtId="0" fontId="5" fillId="7" borderId="17" xfId="23" applyFont="1" applyFill="1" applyBorder="1" applyAlignment="1" applyProtection="1">
      <alignment horizontal="left" vertical="center"/>
      <protection locked="0"/>
    </xf>
    <xf numFmtId="0" fontId="5" fillId="7" borderId="13" xfId="23" applyFont="1" applyFill="1" applyBorder="1" applyAlignment="1" applyProtection="1">
      <alignment horizontal="left" vertical="center"/>
      <protection locked="0"/>
    </xf>
    <xf numFmtId="49" fontId="16" fillId="0" borderId="0" xfId="23" applyNumberFormat="1" applyFont="1" applyAlignment="1">
      <alignment horizontal="center" vertical="center" wrapText="1"/>
    </xf>
    <xf numFmtId="0" fontId="40" fillId="0" borderId="6" xfId="23" applyFont="1" applyBorder="1" applyAlignment="1">
      <alignment horizontal="center" vertical="center"/>
    </xf>
    <xf numFmtId="0" fontId="40" fillId="0" borderId="7" xfId="23" applyFont="1" applyBorder="1" applyAlignment="1">
      <alignment horizontal="center" vertical="center"/>
    </xf>
    <xf numFmtId="0" fontId="5" fillId="2" borderId="25" xfId="23" applyFont="1" applyFill="1" applyBorder="1" applyAlignment="1">
      <alignment horizontal="right" vertical="center"/>
    </xf>
    <xf numFmtId="165" fontId="5" fillId="7" borderId="16" xfId="23" applyNumberFormat="1" applyFont="1" applyFill="1" applyBorder="1" applyAlignment="1" applyProtection="1">
      <alignment horizontal="center" vertical="center"/>
      <protection locked="0"/>
    </xf>
    <xf numFmtId="165" fontId="5" fillId="7" borderId="13" xfId="23" applyNumberFormat="1" applyFont="1" applyFill="1" applyBorder="1" applyAlignment="1" applyProtection="1">
      <alignment horizontal="center" vertical="center"/>
      <protection locked="0"/>
    </xf>
    <xf numFmtId="0" fontId="5" fillId="0" borderId="0" xfId="23" applyFont="1" applyAlignment="1">
      <alignment horizontal="center" vertical="center" wrapText="1"/>
    </xf>
    <xf numFmtId="0" fontId="5" fillId="0" borderId="7" xfId="23" applyFont="1" applyBorder="1" applyAlignment="1">
      <alignment horizontal="right" vertical="center"/>
    </xf>
    <xf numFmtId="0" fontId="78" fillId="7" borderId="16" xfId="23" applyFont="1" applyFill="1" applyBorder="1" applyAlignment="1" applyProtection="1">
      <alignment horizontal="center" vertical="center"/>
      <protection locked="0"/>
    </xf>
    <xf numFmtId="0" fontId="87" fillId="7" borderId="13" xfId="23" applyFont="1" applyFill="1" applyBorder="1" applyAlignment="1" applyProtection="1">
      <alignment horizontal="center" vertical="center"/>
      <protection locked="0"/>
    </xf>
    <xf numFmtId="0" fontId="5" fillId="2" borderId="25" xfId="23" applyFont="1" applyFill="1" applyBorder="1" applyAlignment="1">
      <alignment horizontal="left" vertical="center"/>
    </xf>
    <xf numFmtId="0" fontId="5" fillId="2" borderId="26" xfId="23" applyFont="1" applyFill="1" applyBorder="1" applyAlignment="1">
      <alignment horizontal="right" vertical="center"/>
    </xf>
    <xf numFmtId="2" fontId="5" fillId="7" borderId="16" xfId="23" applyNumberFormat="1" applyFont="1" applyFill="1" applyBorder="1" applyAlignment="1" applyProtection="1">
      <alignment horizontal="center" vertical="center"/>
      <protection locked="0"/>
    </xf>
    <xf numFmtId="2" fontId="5" fillId="7" borderId="13" xfId="23" applyNumberFormat="1" applyFont="1" applyFill="1" applyBorder="1" applyAlignment="1" applyProtection="1">
      <alignment horizontal="center" vertical="center"/>
      <protection locked="0"/>
    </xf>
    <xf numFmtId="2" fontId="5" fillId="0" borderId="0" xfId="23" applyNumberFormat="1" applyFont="1" applyAlignment="1">
      <alignment horizontal="center" vertical="center"/>
    </xf>
    <xf numFmtId="0" fontId="5" fillId="0" borderId="6" xfId="23" applyFont="1" applyBorder="1" applyAlignment="1">
      <alignment horizontal="left" vertical="center" wrapText="1"/>
    </xf>
    <xf numFmtId="0" fontId="3" fillId="0" borderId="0" xfId="23" applyAlignment="1">
      <alignment vertical="center" wrapText="1"/>
    </xf>
    <xf numFmtId="0" fontId="3" fillId="0" borderId="7" xfId="23" applyBorder="1" applyAlignment="1">
      <alignment vertical="center" wrapText="1"/>
    </xf>
    <xf numFmtId="2" fontId="5" fillId="2" borderId="16" xfId="23" applyNumberFormat="1" applyFont="1" applyFill="1" applyBorder="1" applyAlignment="1">
      <alignment horizontal="center" vertical="center"/>
    </xf>
    <xf numFmtId="2" fontId="5" fillId="2" borderId="13" xfId="23" applyNumberFormat="1" applyFont="1" applyFill="1" applyBorder="1" applyAlignment="1">
      <alignment horizontal="center" vertical="center"/>
    </xf>
    <xf numFmtId="167" fontId="5" fillId="3" borderId="0" xfId="23" applyNumberFormat="1" applyFont="1" applyFill="1" applyAlignment="1">
      <alignment horizontal="center" vertical="center"/>
    </xf>
    <xf numFmtId="169" fontId="5" fillId="2" borderId="16" xfId="10" applyNumberFormat="1" applyFont="1" applyFill="1" applyBorder="1" applyAlignment="1">
      <alignment horizontal="center" vertical="center"/>
    </xf>
    <xf numFmtId="169" fontId="5" fillId="2" borderId="13" xfId="10" applyNumberFormat="1" applyFont="1" applyFill="1" applyBorder="1" applyAlignment="1">
      <alignment horizontal="center" vertical="center"/>
    </xf>
    <xf numFmtId="169" fontId="5" fillId="15" borderId="16" xfId="10" applyNumberFormat="1" applyFont="1" applyFill="1" applyBorder="1" applyAlignment="1" applyProtection="1">
      <alignment horizontal="center" vertical="center"/>
      <protection locked="0"/>
    </xf>
    <xf numFmtId="169" fontId="5" fillId="15" borderId="13" xfId="10" applyNumberFormat="1" applyFont="1" applyFill="1" applyBorder="1" applyAlignment="1" applyProtection="1">
      <alignment horizontal="center" vertical="center"/>
      <protection locked="0"/>
    </xf>
    <xf numFmtId="0" fontId="5" fillId="7" borderId="16" xfId="10" applyFont="1" applyFill="1" applyBorder="1" applyAlignment="1" applyProtection="1">
      <alignment horizontal="center" vertical="center"/>
      <protection locked="0"/>
    </xf>
    <xf numFmtId="0" fontId="5" fillId="7" borderId="13" xfId="10" applyFont="1" applyFill="1" applyBorder="1" applyAlignment="1" applyProtection="1">
      <alignment horizontal="center" vertical="center"/>
      <protection locked="0"/>
    </xf>
    <xf numFmtId="0" fontId="5" fillId="0" borderId="16" xfId="10" applyFont="1" applyBorder="1" applyAlignment="1" applyProtection="1">
      <alignment horizontal="left" vertical="top" wrapText="1"/>
      <protection locked="0"/>
    </xf>
    <xf numFmtId="0" fontId="5" fillId="0" borderId="17" xfId="10" applyFont="1" applyBorder="1" applyAlignment="1" applyProtection="1">
      <alignment horizontal="left" vertical="top" wrapText="1"/>
      <protection locked="0"/>
    </xf>
    <xf numFmtId="0" fontId="5" fillId="0" borderId="13" xfId="10" applyFont="1" applyBorder="1" applyAlignment="1" applyProtection="1">
      <alignment horizontal="left" vertical="top" wrapText="1"/>
      <protection locked="0"/>
    </xf>
    <xf numFmtId="0" fontId="5" fillId="0" borderId="6" xfId="10" applyFont="1" applyBorder="1" applyAlignment="1">
      <alignment horizontal="center" vertical="center"/>
    </xf>
    <xf numFmtId="0" fontId="5" fillId="0" borderId="7" xfId="10" applyFont="1" applyBorder="1" applyAlignment="1">
      <alignment horizontal="center" vertical="center"/>
    </xf>
    <xf numFmtId="0" fontId="5" fillId="2" borderId="16" xfId="10" applyFont="1" applyFill="1" applyBorder="1" applyAlignment="1">
      <alignment horizontal="center" vertical="center"/>
    </xf>
    <xf numFmtId="49" fontId="23" fillId="0" borderId="2" xfId="10" applyNumberFormat="1" applyFont="1" applyBorder="1" applyAlignment="1">
      <alignment horizontal="center" vertical="center" wrapText="1"/>
    </xf>
    <xf numFmtId="1" fontId="5" fillId="7" borderId="16" xfId="10" applyNumberFormat="1" applyFont="1" applyFill="1" applyBorder="1" applyAlignment="1" applyProtection="1">
      <alignment horizontal="center" vertical="center"/>
      <protection locked="0"/>
    </xf>
    <xf numFmtId="1" fontId="5" fillId="7" borderId="13" xfId="10" applyNumberFormat="1" applyFont="1" applyFill="1" applyBorder="1" applyAlignment="1" applyProtection="1">
      <alignment horizontal="center" vertical="center"/>
      <protection locked="0"/>
    </xf>
    <xf numFmtId="175" fontId="5" fillId="0" borderId="0" xfId="0" applyNumberFormat="1" applyFont="1" applyAlignment="1">
      <alignment horizontal="center" vertical="center"/>
    </xf>
    <xf numFmtId="165" fontId="5" fillId="2" borderId="16" xfId="10" quotePrefix="1" applyNumberFormat="1" applyFont="1" applyFill="1" applyBorder="1" applyAlignment="1">
      <alignment horizontal="center" vertical="center"/>
    </xf>
    <xf numFmtId="0" fontId="5" fillId="2" borderId="16" xfId="10" applyFont="1" applyFill="1" applyBorder="1" applyAlignment="1">
      <alignment horizontal="center"/>
    </xf>
    <xf numFmtId="0" fontId="5" fillId="2" borderId="13" xfId="10" applyFont="1" applyFill="1" applyBorder="1" applyAlignment="1">
      <alignment horizontal="center"/>
    </xf>
    <xf numFmtId="168" fontId="7" fillId="0" borderId="0" xfId="10" applyNumberFormat="1" applyFont="1" applyAlignment="1">
      <alignment horizontal="center" vertical="center"/>
    </xf>
    <xf numFmtId="0" fontId="7" fillId="0" borderId="0" xfId="10" applyFont="1" applyAlignment="1">
      <alignment horizontal="center"/>
    </xf>
    <xf numFmtId="0" fontId="7" fillId="0" borderId="0" xfId="10" applyFont="1" applyAlignment="1">
      <alignment horizontal="center" vertical="center"/>
    </xf>
    <xf numFmtId="0" fontId="7" fillId="0" borderId="17" xfId="10" applyFont="1" applyBorder="1" applyAlignment="1">
      <alignment horizontal="center" vertical="center"/>
    </xf>
    <xf numFmtId="168" fontId="7" fillId="0" borderId="0" xfId="10" applyNumberFormat="1" applyFont="1" applyAlignment="1">
      <alignment horizontal="center"/>
    </xf>
    <xf numFmtId="0" fontId="5" fillId="0" borderId="0" xfId="10" quotePrefix="1" applyFont="1" applyAlignment="1">
      <alignment horizontal="center" vertical="center"/>
    </xf>
    <xf numFmtId="165" fontId="5" fillId="3" borderId="0" xfId="10" applyNumberFormat="1" applyFont="1" applyFill="1" applyAlignment="1">
      <alignment horizontal="left" vertical="center"/>
    </xf>
    <xf numFmtId="165" fontId="9" fillId="3" borderId="0" xfId="10" applyNumberFormat="1" applyFont="1" applyFill="1" applyAlignment="1">
      <alignment horizontal="left" vertical="center"/>
    </xf>
    <xf numFmtId="0" fontId="15" fillId="0" borderId="7" xfId="10" applyBorder="1" applyAlignment="1">
      <alignment horizontal="left" vertical="center"/>
    </xf>
    <xf numFmtId="1" fontId="5" fillId="13" borderId="16" xfId="10" applyNumberFormat="1" applyFont="1" applyFill="1" applyBorder="1" applyAlignment="1">
      <alignment horizontal="center" vertical="center"/>
    </xf>
    <xf numFmtId="1" fontId="5" fillId="13" borderId="13" xfId="10" applyNumberFormat="1" applyFont="1" applyFill="1" applyBorder="1" applyAlignment="1">
      <alignment horizontal="center" vertical="center"/>
    </xf>
    <xf numFmtId="0" fontId="5" fillId="0" borderId="0" xfId="10" applyFont="1" applyAlignment="1">
      <alignment horizontal="left" vertical="center"/>
    </xf>
    <xf numFmtId="0" fontId="15" fillId="0" borderId="0" xfId="10"/>
    <xf numFmtId="0" fontId="15" fillId="0" borderId="7" xfId="10" applyBorder="1"/>
    <xf numFmtId="3" fontId="5" fillId="13" borderId="16" xfId="10" applyNumberFormat="1" applyFont="1" applyFill="1" applyBorder="1" applyAlignment="1">
      <alignment horizontal="center" vertical="center"/>
    </xf>
    <xf numFmtId="3" fontId="5" fillId="13" borderId="13" xfId="10" applyNumberFormat="1" applyFont="1" applyFill="1" applyBorder="1" applyAlignment="1">
      <alignment horizontal="center" vertical="center"/>
    </xf>
    <xf numFmtId="0" fontId="5" fillId="2" borderId="25" xfId="0" applyFont="1" applyFill="1" applyBorder="1" applyAlignment="1">
      <alignment horizontal="right"/>
    </xf>
    <xf numFmtId="0" fontId="5" fillId="2" borderId="25" xfId="0" applyFont="1" applyFill="1" applyBorder="1" applyAlignment="1">
      <alignment horizontal="left"/>
    </xf>
    <xf numFmtId="2" fontId="5" fillId="15" borderId="16" xfId="0" applyNumberFormat="1" applyFont="1" applyFill="1" applyBorder="1" applyAlignment="1" applyProtection="1">
      <alignment horizontal="center" vertical="center"/>
      <protection locked="0"/>
    </xf>
    <xf numFmtId="2" fontId="5" fillId="15" borderId="13"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165" fontId="5" fillId="3" borderId="0" xfId="0" applyNumberFormat="1" applyFont="1" applyFill="1" applyAlignment="1">
      <alignment horizontal="center" vertical="center"/>
    </xf>
    <xf numFmtId="165" fontId="5" fillId="3" borderId="1" xfId="0" applyNumberFormat="1" applyFont="1" applyFill="1" applyBorder="1" applyAlignment="1">
      <alignment horizontal="center" vertical="center"/>
    </xf>
    <xf numFmtId="2" fontId="5" fillId="13" borderId="16" xfId="0" applyNumberFormat="1" applyFont="1" applyFill="1" applyBorder="1" applyAlignment="1">
      <alignment horizontal="center"/>
    </xf>
    <xf numFmtId="2" fontId="5" fillId="2" borderId="13" xfId="0" applyNumberFormat="1" applyFont="1" applyFill="1" applyBorder="1" applyAlignment="1">
      <alignment horizontal="center"/>
    </xf>
    <xf numFmtId="2" fontId="5" fillId="0" borderId="6" xfId="0" applyNumberFormat="1" applyFont="1" applyBorder="1" applyAlignment="1">
      <alignment horizontal="left" vertical="center"/>
    </xf>
    <xf numFmtId="2" fontId="5" fillId="0" borderId="0" xfId="0" applyNumberFormat="1" applyFont="1" applyAlignment="1">
      <alignment horizontal="center"/>
    </xf>
    <xf numFmtId="0" fontId="5" fillId="0" borderId="0" xfId="0" applyFont="1" applyAlignment="1">
      <alignment horizontal="center" wrapText="1"/>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35" xfId="0" applyFont="1" applyBorder="1" applyAlignment="1" applyProtection="1">
      <alignment horizontal="left" vertical="top" wrapText="1"/>
      <protection locked="0"/>
    </xf>
    <xf numFmtId="0" fontId="5" fillId="13" borderId="13" xfId="0" applyFont="1" applyFill="1" applyBorder="1" applyAlignment="1">
      <alignment horizontal="center"/>
    </xf>
    <xf numFmtId="0" fontId="6" fillId="0" borderId="0" xfId="0" applyFont="1" applyAlignment="1">
      <alignment horizontal="left" vertical="center"/>
    </xf>
    <xf numFmtId="1" fontId="5" fillId="0" borderId="0" xfId="0" applyNumberFormat="1" applyFont="1" applyAlignment="1">
      <alignment horizontal="center" vertical="center"/>
    </xf>
    <xf numFmtId="165" fontId="5" fillId="2" borderId="35" xfId="0" applyNumberFormat="1" applyFont="1" applyFill="1" applyBorder="1" applyAlignment="1">
      <alignment horizontal="center" vertical="center"/>
    </xf>
    <xf numFmtId="2" fontId="5" fillId="0" borderId="0" xfId="0" applyNumberFormat="1" applyFont="1" applyAlignment="1">
      <alignment horizontal="center" vertical="center"/>
    </xf>
    <xf numFmtId="1" fontId="5" fillId="0" borderId="0" xfId="0" applyNumberFormat="1" applyFont="1" applyAlignment="1">
      <alignment horizontal="center"/>
    </xf>
    <xf numFmtId="164" fontId="5" fillId="0" borderId="0" xfId="0" applyNumberFormat="1" applyFont="1" applyAlignment="1">
      <alignment horizontal="center" vertical="center"/>
    </xf>
    <xf numFmtId="49" fontId="25" fillId="0" borderId="0" xfId="0" applyNumberFormat="1" applyFont="1" applyAlignment="1">
      <alignment horizontal="center" vertical="center" wrapText="1"/>
    </xf>
    <xf numFmtId="0" fontId="5" fillId="0" borderId="0" xfId="0" applyFont="1" applyAlignment="1">
      <alignment horizontal="left" vertical="top" wrapText="1"/>
    </xf>
    <xf numFmtId="1" fontId="5" fillId="12" borderId="16" xfId="0" applyNumberFormat="1" applyFont="1" applyFill="1" applyBorder="1" applyAlignment="1">
      <alignment horizontal="center" vertical="center"/>
    </xf>
    <xf numFmtId="1" fontId="5" fillId="12" borderId="13" xfId="0" applyNumberFormat="1" applyFont="1" applyFill="1" applyBorder="1" applyAlignment="1">
      <alignment horizontal="center" vertical="center"/>
    </xf>
    <xf numFmtId="165" fontId="5" fillId="12" borderId="16" xfId="0" applyNumberFormat="1" applyFont="1" applyFill="1" applyBorder="1" applyAlignment="1">
      <alignment horizontal="center" vertical="center"/>
    </xf>
    <xf numFmtId="165" fontId="5" fillId="12" borderId="13" xfId="0" applyNumberFormat="1" applyFont="1" applyFill="1" applyBorder="1" applyAlignment="1">
      <alignment horizontal="center" vertical="center"/>
    </xf>
    <xf numFmtId="0" fontId="3" fillId="0" borderId="0" xfId="0" applyFont="1" applyAlignment="1">
      <alignment horizontal="left"/>
    </xf>
    <xf numFmtId="0" fontId="5" fillId="2" borderId="17" xfId="0" applyFont="1" applyFill="1" applyBorder="1" applyAlignment="1">
      <alignment horizontal="right"/>
    </xf>
    <xf numFmtId="0" fontId="5" fillId="2" borderId="17" xfId="0" applyFont="1" applyFill="1" applyBorder="1" applyAlignment="1">
      <alignment horizontal="left"/>
    </xf>
    <xf numFmtId="1" fontId="3" fillId="7" borderId="13" xfId="0" applyNumberFormat="1" applyFont="1" applyFill="1" applyBorder="1" applyAlignment="1" applyProtection="1">
      <alignment horizontal="center" vertical="center"/>
      <protection locked="0"/>
    </xf>
    <xf numFmtId="165" fontId="8" fillId="3" borderId="0" xfId="0" applyNumberFormat="1" applyFont="1" applyFill="1" applyAlignment="1">
      <alignment horizontal="center" vertical="center"/>
    </xf>
    <xf numFmtId="0" fontId="5" fillId="0" borderId="6" xfId="0" quotePrefix="1" applyFont="1" applyBorder="1" applyAlignment="1">
      <alignment horizontal="center" vertical="center"/>
    </xf>
    <xf numFmtId="0" fontId="6" fillId="0" borderId="6"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6" fillId="0" borderId="0" xfId="0" applyFont="1" applyAlignment="1">
      <alignment vertical="center" wrapText="1"/>
    </xf>
    <xf numFmtId="0" fontId="0" fillId="0" borderId="0" xfId="0" applyAlignment="1">
      <alignment wrapText="1"/>
    </xf>
    <xf numFmtId="0" fontId="0" fillId="0" borderId="7" xfId="0" applyBorder="1" applyAlignment="1">
      <alignment wrapText="1"/>
    </xf>
    <xf numFmtId="0" fontId="86" fillId="0" borderId="0" xfId="0" applyFont="1" applyAlignment="1">
      <alignment horizontal="center" vertical="center"/>
    </xf>
    <xf numFmtId="0" fontId="86" fillId="0" borderId="7" xfId="0" applyFont="1" applyBorder="1" applyAlignment="1">
      <alignment horizontal="center" vertical="center"/>
    </xf>
    <xf numFmtId="0" fontId="6" fillId="0" borderId="0" xfId="0" applyFont="1" applyAlignment="1">
      <alignment horizontal="right" vertical="center"/>
    </xf>
    <xf numFmtId="0" fontId="6" fillId="0" borderId="7" xfId="0" applyFont="1" applyBorder="1" applyAlignment="1">
      <alignment horizontal="right" vertical="center"/>
    </xf>
    <xf numFmtId="164" fontId="7" fillId="0" borderId="4" xfId="0" applyNumberFormat="1" applyFont="1" applyBorder="1" applyAlignment="1">
      <alignment horizontal="center" vertical="center"/>
    </xf>
    <xf numFmtId="0" fontId="7" fillId="0" borderId="0" xfId="0" applyFont="1" applyAlignment="1">
      <alignment horizontal="center" wrapText="1"/>
    </xf>
    <xf numFmtId="0" fontId="7" fillId="0" borderId="7" xfId="0" applyFont="1" applyBorder="1" applyAlignment="1">
      <alignment horizontal="center" wrapText="1"/>
    </xf>
    <xf numFmtId="49" fontId="16" fillId="0" borderId="0" xfId="0" applyNumberFormat="1" applyFont="1" applyAlignment="1">
      <alignment horizontal="center" vertical="center" wrapText="1"/>
    </xf>
    <xf numFmtId="165" fontId="5" fillId="7" borderId="16" xfId="0" applyNumberFormat="1" applyFont="1" applyFill="1" applyBorder="1" applyAlignment="1" applyProtection="1">
      <alignment horizontal="center" vertical="center"/>
      <protection locked="0"/>
    </xf>
    <xf numFmtId="165" fontId="5" fillId="7" borderId="13" xfId="0" applyNumberFormat="1" applyFont="1" applyFill="1" applyBorder="1" applyAlignment="1" applyProtection="1">
      <alignment horizontal="center" vertical="center"/>
      <protection locked="0"/>
    </xf>
    <xf numFmtId="0" fontId="5" fillId="2" borderId="16" xfId="0" applyFont="1" applyFill="1" applyBorder="1" applyAlignment="1">
      <alignment horizontal="center" vertical="center"/>
    </xf>
    <xf numFmtId="0" fontId="5" fillId="2" borderId="13" xfId="0" applyFont="1" applyFill="1" applyBorder="1" applyAlignment="1">
      <alignment horizontal="center" vertical="center"/>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5" fillId="0" borderId="7" xfId="0" applyFont="1" applyBorder="1" applyAlignment="1">
      <alignment horizontal="center" vertical="center" wrapText="1"/>
    </xf>
    <xf numFmtId="164" fontId="5" fillId="0" borderId="7" xfId="0" applyNumberFormat="1" applyFont="1" applyBorder="1" applyAlignment="1">
      <alignment horizontal="center"/>
    </xf>
    <xf numFmtId="2" fontId="0" fillId="0" borderId="0" xfId="0" applyNumberFormat="1"/>
    <xf numFmtId="0" fontId="0" fillId="0" borderId="0" xfId="0"/>
    <xf numFmtId="0" fontId="0" fillId="0" borderId="4" xfId="0" applyBorder="1"/>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quotePrefix="1" applyFont="1" applyAlignment="1">
      <alignment horizontal="left" vertical="center" wrapText="1"/>
    </xf>
    <xf numFmtId="165" fontId="3" fillId="2" borderId="13" xfId="0" applyNumberFormat="1" applyFont="1" applyFill="1" applyBorder="1" applyAlignment="1">
      <alignment horizontal="center" vertical="center"/>
    </xf>
    <xf numFmtId="39" fontId="5" fillId="2" borderId="16" xfId="1" applyNumberFormat="1" applyFont="1" applyFill="1" applyBorder="1" applyAlignment="1">
      <alignment horizontal="center" vertical="center"/>
    </xf>
    <xf numFmtId="39" fontId="5" fillId="2" borderId="13" xfId="1" applyNumberFormat="1" applyFont="1" applyFill="1" applyBorder="1" applyAlignment="1">
      <alignment horizontal="center" vertical="center"/>
    </xf>
    <xf numFmtId="0" fontId="0" fillId="0" borderId="7" xfId="0" applyBorder="1" applyAlignment="1">
      <alignment vertical="center"/>
    </xf>
    <xf numFmtId="0" fontId="5" fillId="0" borderId="7" xfId="0" quotePrefix="1" applyFont="1" applyBorder="1" applyAlignment="1">
      <alignment horizontal="center" vertical="center"/>
    </xf>
    <xf numFmtId="0" fontId="13" fillId="0" borderId="0" xfId="0" applyFont="1"/>
    <xf numFmtId="0" fontId="50" fillId="0" borderId="0" xfId="0" applyFont="1"/>
    <xf numFmtId="0" fontId="50" fillId="0" borderId="7" xfId="0" applyFont="1" applyBorder="1"/>
    <xf numFmtId="165" fontId="5" fillId="2" borderId="16" xfId="0" applyNumberFormat="1" applyFont="1" applyFill="1" applyBorder="1" applyAlignment="1">
      <alignment horizontal="center" vertical="center" wrapText="1"/>
    </xf>
    <xf numFmtId="165" fontId="5" fillId="2" borderId="13" xfId="0" applyNumberFormat="1" applyFont="1" applyFill="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5" fillId="0" borderId="0" xfId="0" quotePrefix="1" applyFont="1" applyAlignment="1">
      <alignment horizontal="center" vertical="center"/>
    </xf>
    <xf numFmtId="0" fontId="5" fillId="0" borderId="8" xfId="0" applyFont="1" applyBorder="1" applyAlignment="1">
      <alignment horizontal="left" vertical="center"/>
    </xf>
    <xf numFmtId="0" fontId="5" fillId="0" borderId="16" xfId="0" applyFont="1" applyBorder="1" applyAlignment="1">
      <alignment horizontal="right" vertical="center"/>
    </xf>
    <xf numFmtId="0" fontId="0" fillId="0" borderId="17" xfId="0" applyBorder="1"/>
    <xf numFmtId="0" fontId="0" fillId="0" borderId="13" xfId="0" applyBorder="1"/>
    <xf numFmtId="165" fontId="9" fillId="2" borderId="16" xfId="0" applyNumberFormat="1" applyFont="1" applyFill="1" applyBorder="1" applyAlignment="1">
      <alignment horizontal="center" vertical="center"/>
    </xf>
    <xf numFmtId="165" fontId="9" fillId="2" borderId="13" xfId="0" applyNumberFormat="1" applyFont="1" applyFill="1" applyBorder="1" applyAlignment="1">
      <alignment horizontal="center" vertical="center"/>
    </xf>
    <xf numFmtId="165" fontId="9" fillId="7" borderId="8" xfId="0" applyNumberFormat="1" applyFont="1" applyFill="1" applyBorder="1" applyAlignment="1" applyProtection="1">
      <alignment horizontal="center" vertical="center"/>
      <protection locked="0"/>
    </xf>
    <xf numFmtId="0" fontId="5" fillId="0" borderId="9" xfId="0" applyFont="1" applyBorder="1" applyAlignment="1">
      <alignment horizontal="center" wrapText="1"/>
    </xf>
    <xf numFmtId="0" fontId="5" fillId="0" borderId="4" xfId="0" applyFont="1" applyBorder="1" applyAlignment="1">
      <alignment horizontal="center" wrapText="1"/>
    </xf>
    <xf numFmtId="0" fontId="5" fillId="0" borderId="10"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165" fontId="8" fillId="2" borderId="8" xfId="0" applyNumberFormat="1" applyFont="1" applyFill="1" applyBorder="1" applyAlignment="1">
      <alignment horizontal="center" vertical="center"/>
    </xf>
    <xf numFmtId="0" fontId="5" fillId="0" borderId="10" xfId="0" applyFont="1" applyBorder="1" applyAlignment="1">
      <alignment horizontal="right" vertical="center"/>
    </xf>
    <xf numFmtId="0" fontId="5" fillId="0" borderId="9" xfId="0" applyFont="1" applyBorder="1" applyAlignment="1">
      <alignment horizontal="right" vertical="center"/>
    </xf>
    <xf numFmtId="0" fontId="5" fillId="0" borderId="11" xfId="0" applyFont="1" applyBorder="1" applyAlignment="1">
      <alignment horizontal="right" vertical="center"/>
    </xf>
    <xf numFmtId="1" fontId="5" fillId="0" borderId="0" xfId="0" applyNumberFormat="1" applyFont="1" applyAlignment="1">
      <alignment horizontal="center" vertical="center" wrapText="1"/>
    </xf>
    <xf numFmtId="0" fontId="5" fillId="0" borderId="9" xfId="0" applyFont="1" applyBorder="1" applyAlignment="1">
      <alignment horizontal="left" vertical="center" wrapText="1"/>
    </xf>
    <xf numFmtId="165" fontId="8" fillId="2" borderId="16" xfId="0" applyNumberFormat="1" applyFont="1" applyFill="1" applyBorder="1" applyAlignment="1">
      <alignment horizontal="center" vertical="center"/>
    </xf>
    <xf numFmtId="165" fontId="8" fillId="2" borderId="17" xfId="0" applyNumberFormat="1" applyFont="1" applyFill="1" applyBorder="1" applyAlignment="1">
      <alignment horizontal="center" vertical="center"/>
    </xf>
    <xf numFmtId="165" fontId="8" fillId="2" borderId="13" xfId="0" applyNumberFormat="1" applyFont="1" applyFill="1" applyBorder="1" applyAlignment="1">
      <alignment horizontal="center" vertical="center"/>
    </xf>
    <xf numFmtId="165" fontId="8" fillId="2" borderId="10" xfId="0" applyNumberFormat="1" applyFont="1" applyFill="1" applyBorder="1" applyAlignment="1">
      <alignment horizontal="center" vertical="center"/>
    </xf>
    <xf numFmtId="165" fontId="8" fillId="2" borderId="9" xfId="0" applyNumberFormat="1" applyFont="1" applyFill="1" applyBorder="1" applyAlignment="1">
      <alignment horizontal="center" vertical="center"/>
    </xf>
    <xf numFmtId="165" fontId="8" fillId="2" borderId="11" xfId="0" applyNumberFormat="1" applyFont="1" applyFill="1" applyBorder="1" applyAlignment="1">
      <alignment horizontal="center" vertical="center"/>
    </xf>
    <xf numFmtId="0" fontId="7" fillId="0" borderId="0" xfId="0" applyFont="1" applyAlignment="1">
      <alignment horizontal="center" vertical="center" wrapText="1"/>
    </xf>
    <xf numFmtId="0" fontId="5" fillId="0" borderId="9" xfId="0" applyFont="1" applyBorder="1" applyAlignment="1">
      <alignment horizontal="right" vertical="top"/>
    </xf>
    <xf numFmtId="0" fontId="5" fillId="0" borderId="11" xfId="0" applyFont="1" applyBorder="1" applyAlignment="1">
      <alignment horizontal="right" vertical="top"/>
    </xf>
    <xf numFmtId="0" fontId="5" fillId="0" borderId="0" xfId="0" applyFont="1" applyAlignment="1">
      <alignment horizontal="right" vertical="top"/>
    </xf>
    <xf numFmtId="0" fontId="5" fillId="0" borderId="7" xfId="0" applyFont="1" applyBorder="1" applyAlignment="1">
      <alignment horizontal="right" vertical="top"/>
    </xf>
    <xf numFmtId="49" fontId="7" fillId="2" borderId="16" xfId="0" applyNumberFormat="1" applyFont="1" applyFill="1" applyBorder="1" applyAlignment="1">
      <alignment horizontal="left" vertical="center" wrapText="1"/>
    </xf>
    <xf numFmtId="49" fontId="7" fillId="2" borderId="17"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0" fontId="5" fillId="2" borderId="9" xfId="0" applyFont="1" applyFill="1" applyBorder="1" applyAlignment="1">
      <alignment horizontal="right"/>
    </xf>
    <xf numFmtId="49" fontId="7" fillId="0" borderId="0" xfId="0" applyNumberFormat="1" applyFont="1" applyAlignment="1">
      <alignment horizontal="left" vertical="center" wrapText="1"/>
    </xf>
    <xf numFmtId="0" fontId="0" fillId="0" borderId="0" xfId="0" applyAlignment="1">
      <alignment horizontal="left" vertical="center"/>
    </xf>
    <xf numFmtId="165" fontId="3" fillId="7" borderId="13" xfId="0" applyNumberFormat="1" applyFont="1" applyFill="1" applyBorder="1" applyAlignment="1" applyProtection="1">
      <alignment horizontal="center" vertical="center"/>
      <protection locked="0"/>
    </xf>
    <xf numFmtId="0" fontId="5" fillId="2" borderId="9" xfId="0" applyFont="1" applyFill="1" applyBorder="1" applyAlignment="1">
      <alignment horizontal="left"/>
    </xf>
    <xf numFmtId="0" fontId="5" fillId="7" borderId="3"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49" fontId="7" fillId="7" borderId="16" xfId="0" applyNumberFormat="1" applyFont="1" applyFill="1" applyBorder="1" applyAlignment="1" applyProtection="1">
      <alignment horizontal="center" vertical="center" wrapText="1"/>
      <protection locked="0"/>
    </xf>
    <xf numFmtId="49" fontId="7" fillId="7" borderId="17" xfId="0" applyNumberFormat="1" applyFont="1" applyFill="1" applyBorder="1" applyAlignment="1" applyProtection="1">
      <alignment horizontal="center" vertical="center" wrapText="1"/>
      <protection locked="0"/>
    </xf>
    <xf numFmtId="49" fontId="7" fillId="7" borderId="13" xfId="0" applyNumberFormat="1" applyFont="1" applyFill="1" applyBorder="1" applyAlignment="1" applyProtection="1">
      <alignment horizontal="center" vertical="center" wrapText="1"/>
      <protection locked="0"/>
    </xf>
    <xf numFmtId="0" fontId="5"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26" fillId="0" borderId="24" xfId="0" applyFont="1" applyBorder="1" applyAlignment="1">
      <alignment horizontal="center"/>
    </xf>
    <xf numFmtId="0" fontId="26" fillId="0" borderId="13" xfId="0" applyFont="1" applyBorder="1" applyAlignment="1">
      <alignment horizontal="center"/>
    </xf>
    <xf numFmtId="0" fontId="26" fillId="0" borderId="51" xfId="0" applyFont="1" applyBorder="1" applyAlignment="1">
      <alignment horizontal="center"/>
    </xf>
    <xf numFmtId="0" fontId="26" fillId="0" borderId="8" xfId="0" applyFont="1" applyBorder="1" applyAlignment="1">
      <alignment horizontal="center"/>
    </xf>
    <xf numFmtId="49" fontId="7" fillId="2" borderId="3"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65" fontId="4" fillId="0" borderId="17" xfId="0" applyNumberFormat="1" applyFont="1" applyBorder="1" applyAlignment="1">
      <alignment horizontal="center" vertical="center"/>
    </xf>
    <xf numFmtId="0" fontId="5" fillId="0" borderId="49" xfId="0"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5" fillId="2" borderId="17" xfId="0" applyFont="1" applyFill="1" applyBorder="1" applyAlignment="1">
      <alignment horizontal="left" vertical="center"/>
    </xf>
    <xf numFmtId="165" fontId="5" fillId="6" borderId="16" xfId="0" applyNumberFormat="1" applyFont="1" applyFill="1" applyBorder="1" applyAlignment="1" applyProtection="1">
      <alignment horizontal="center" vertical="center"/>
      <protection locked="0"/>
    </xf>
    <xf numFmtId="165" fontId="5" fillId="6" borderId="13" xfId="0" applyNumberFormat="1" applyFont="1" applyFill="1" applyBorder="1" applyAlignment="1" applyProtection="1">
      <alignment horizontal="center" vertical="center"/>
      <protection locked="0"/>
    </xf>
    <xf numFmtId="49" fontId="4" fillId="0" borderId="4" xfId="0" applyNumberFormat="1" applyFont="1" applyBorder="1" applyAlignment="1">
      <alignment horizontal="center" vertical="center" wrapText="1"/>
    </xf>
    <xf numFmtId="0" fontId="3" fillId="2" borderId="13" xfId="0" applyFont="1" applyFill="1" applyBorder="1" applyAlignment="1">
      <alignment horizontal="center" vertical="center"/>
    </xf>
    <xf numFmtId="167" fontId="5" fillId="2" borderId="13" xfId="0" applyNumberFormat="1" applyFont="1" applyFill="1" applyBorder="1" applyAlignment="1">
      <alignment horizontal="center" vertical="center"/>
    </xf>
    <xf numFmtId="0" fontId="5" fillId="2" borderId="16" xfId="0" quotePrefix="1" applyFont="1" applyFill="1" applyBorder="1" applyAlignment="1">
      <alignment horizontal="center" vertical="center"/>
    </xf>
    <xf numFmtId="0" fontId="5" fillId="2" borderId="13" xfId="0" quotePrefix="1" applyFont="1" applyFill="1" applyBorder="1" applyAlignment="1">
      <alignment horizontal="center" vertical="center"/>
    </xf>
    <xf numFmtId="0" fontId="7" fillId="2" borderId="16" xfId="0" applyFont="1" applyFill="1" applyBorder="1" applyAlignment="1">
      <alignment horizontal="left" vertical="center"/>
    </xf>
    <xf numFmtId="1" fontId="5" fillId="7" borderId="17" xfId="0" applyNumberFormat="1" applyFont="1" applyFill="1" applyBorder="1" applyAlignment="1" applyProtection="1">
      <alignment horizontal="center" vertical="center"/>
      <protection locked="0"/>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1" fontId="7" fillId="0" borderId="0" xfId="0" applyNumberFormat="1" applyFont="1" applyAlignment="1">
      <alignment horizontal="right" vertical="center"/>
    </xf>
    <xf numFmtId="0" fontId="5" fillId="6" borderId="16" xfId="0" applyFont="1" applyFill="1" applyBorder="1" applyAlignment="1" applyProtection="1">
      <alignment horizontal="center" vertical="center"/>
      <protection locked="0"/>
    </xf>
    <xf numFmtId="0" fontId="5" fillId="6" borderId="13" xfId="0" applyFont="1" applyFill="1" applyBorder="1" applyAlignment="1" applyProtection="1">
      <alignment horizontal="center" vertical="center"/>
      <protection locked="0"/>
    </xf>
    <xf numFmtId="0" fontId="74" fillId="0" borderId="0" xfId="0" applyFont="1" applyAlignment="1">
      <alignment horizontal="center" vertical="center" wrapText="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176" fontId="5" fillId="7" borderId="16" xfId="0" applyNumberFormat="1" applyFont="1" applyFill="1" applyBorder="1" applyAlignment="1" applyProtection="1">
      <alignment horizontal="center" vertical="center"/>
      <protection locked="0"/>
    </xf>
    <xf numFmtId="176" fontId="3" fillId="7" borderId="13" xfId="0" applyNumberFormat="1" applyFont="1" applyFill="1" applyBorder="1" applyAlignment="1" applyProtection="1">
      <alignment horizontal="center" vertical="center"/>
      <protection locked="0"/>
    </xf>
    <xf numFmtId="176" fontId="5" fillId="2" borderId="16"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0" fontId="7" fillId="0" borderId="0" xfId="0" applyFont="1" applyAlignment="1">
      <alignment horizontal="left" vertical="center"/>
    </xf>
    <xf numFmtId="0" fontId="0" fillId="0" borderId="17"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0" borderId="8" xfId="0" applyFont="1" applyBorder="1" applyAlignment="1" applyProtection="1">
      <alignment horizontal="left"/>
      <protection locked="0"/>
    </xf>
    <xf numFmtId="0" fontId="5" fillId="0" borderId="8" xfId="0" applyFont="1" applyBorder="1" applyAlignment="1">
      <alignment horizontal="left"/>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7" borderId="8" xfId="0" applyFont="1" applyFill="1" applyBorder="1" applyAlignment="1" applyProtection="1">
      <alignment horizontal="center" vertical="center"/>
      <protection locked="0"/>
    </xf>
    <xf numFmtId="0" fontId="8" fillId="11" borderId="16" xfId="0" applyFont="1" applyFill="1" applyBorder="1" applyAlignment="1" applyProtection="1">
      <alignment horizontal="center" vertical="center"/>
      <protection locked="0"/>
    </xf>
    <xf numFmtId="0" fontId="8" fillId="11" borderId="13" xfId="0" applyFont="1" applyFill="1" applyBorder="1" applyAlignment="1" applyProtection="1">
      <alignment horizontal="center" vertical="center"/>
      <protection locked="0"/>
    </xf>
    <xf numFmtId="0" fontId="0" fillId="0" borderId="0" xfId="0" applyAlignment="1">
      <alignment horizontal="left" vertical="center" wrapText="1"/>
    </xf>
    <xf numFmtId="0" fontId="5" fillId="0" borderId="16" xfId="0" applyFont="1" applyBorder="1" applyAlignment="1">
      <alignment horizontal="left" vertical="top" wrapText="1"/>
    </xf>
    <xf numFmtId="0" fontId="0" fillId="0" borderId="17" xfId="0" applyBorder="1" applyAlignment="1">
      <alignment horizontal="left" vertical="top" wrapText="1"/>
    </xf>
    <xf numFmtId="165" fontId="4" fillId="0" borderId="9" xfId="0" applyNumberFormat="1" applyFont="1" applyBorder="1" applyAlignment="1">
      <alignment horizontal="center" vertical="center"/>
    </xf>
    <xf numFmtId="0" fontId="5" fillId="0" borderId="13" xfId="0" applyFont="1" applyBorder="1" applyAlignment="1" applyProtection="1">
      <alignment horizontal="left" vertical="top" wrapText="1"/>
      <protection locked="0"/>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28" fillId="7" borderId="16" xfId="0" applyFont="1" applyFill="1" applyBorder="1" applyAlignment="1" applyProtection="1">
      <alignment horizontal="center" vertical="center"/>
      <protection locked="0"/>
    </xf>
    <xf numFmtId="0" fontId="72" fillId="7" borderId="13" xfId="0" applyFont="1" applyFill="1" applyBorder="1" applyAlignment="1" applyProtection="1">
      <alignment horizontal="center" vertical="center"/>
      <protection locked="0"/>
    </xf>
    <xf numFmtId="0" fontId="42" fillId="0" borderId="0" xfId="0" applyFont="1" applyAlignment="1">
      <alignment horizontal="left" vertical="center" wrapText="1"/>
    </xf>
    <xf numFmtId="0" fontId="42" fillId="0" borderId="0" xfId="0" applyFont="1" applyAlignment="1">
      <alignment vertical="center"/>
    </xf>
    <xf numFmtId="49" fontId="5" fillId="0" borderId="0" xfId="0" applyNumberFormat="1" applyFont="1" applyAlignment="1">
      <alignment horizontal="left" vertical="center" wrapText="1"/>
    </xf>
    <xf numFmtId="0" fontId="3" fillId="0" borderId="0" xfId="0" applyFont="1" applyAlignment="1">
      <alignment horizontal="left" vertical="center"/>
    </xf>
    <xf numFmtId="0" fontId="33" fillId="0" borderId="0" xfId="0" applyFont="1" applyAlignment="1">
      <alignment horizontal="left" vertical="center"/>
    </xf>
    <xf numFmtId="0" fontId="9" fillId="0" borderId="0" xfId="0" applyFont="1" applyAlignment="1" applyProtection="1">
      <alignment horizontal="center" vertical="center"/>
      <protection locked="0"/>
    </xf>
    <xf numFmtId="0" fontId="53" fillId="0" borderId="0" xfId="0" applyFont="1" applyAlignment="1" applyProtection="1">
      <alignment horizontal="center" vertical="center"/>
      <protection locked="0"/>
    </xf>
    <xf numFmtId="165" fontId="3" fillId="0" borderId="13" xfId="0" applyNumberFormat="1" applyFont="1" applyBorder="1" applyAlignment="1">
      <alignment horizontal="center" vertical="center"/>
    </xf>
    <xf numFmtId="2" fontId="5" fillId="2" borderId="16" xfId="0" applyNumberFormat="1" applyFont="1" applyFill="1" applyBorder="1" applyAlignment="1">
      <alignment horizontal="center" vertical="center" wrapText="1"/>
    </xf>
    <xf numFmtId="2" fontId="3" fillId="0" borderId="13"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67" fillId="2" borderId="8" xfId="46" applyFont="1" applyFill="1" applyBorder="1" applyAlignment="1">
      <alignment horizontal="center"/>
    </xf>
    <xf numFmtId="0" fontId="54" fillId="2" borderId="8" xfId="46" applyFont="1" applyFill="1" applyBorder="1" applyAlignment="1">
      <alignment horizontal="center" wrapText="1"/>
    </xf>
    <xf numFmtId="0" fontId="29" fillId="2" borderId="14" xfId="46" applyFont="1" applyFill="1" applyBorder="1" applyAlignment="1">
      <alignment horizontal="center" vertical="center" wrapText="1"/>
    </xf>
    <xf numFmtId="0" fontId="29" fillId="2" borderId="12" xfId="46" applyFont="1" applyFill="1" applyBorder="1" applyAlignment="1">
      <alignment horizontal="center" vertical="center" wrapText="1"/>
    </xf>
    <xf numFmtId="0" fontId="29" fillId="2" borderId="8" xfId="46" applyFont="1" applyFill="1" applyBorder="1" applyAlignment="1">
      <alignment horizontal="center" vertical="center" wrapText="1"/>
    </xf>
    <xf numFmtId="0" fontId="28" fillId="0" borderId="0" xfId="46" applyFont="1" applyAlignment="1">
      <alignment horizontal="left" wrapText="1"/>
    </xf>
    <xf numFmtId="0" fontId="47" fillId="0" borderId="8" xfId="0" applyFont="1" applyBorder="1" applyAlignment="1">
      <alignment horizontal="left" vertical="center"/>
    </xf>
    <xf numFmtId="0" fontId="47" fillId="2" borderId="8" xfId="0" applyFont="1" applyFill="1" applyBorder="1" applyAlignment="1">
      <alignment horizontal="left" vertical="center"/>
    </xf>
    <xf numFmtId="0" fontId="47" fillId="0" borderId="8" xfId="0" applyFont="1" applyBorder="1" applyAlignment="1">
      <alignment horizontal="left" vertical="center" wrapText="1"/>
    </xf>
    <xf numFmtId="0" fontId="7" fillId="2" borderId="8" xfId="0" applyFont="1" applyFill="1" applyBorder="1" applyAlignment="1">
      <alignment horizontal="center" vertical="center" wrapText="1"/>
    </xf>
    <xf numFmtId="0" fontId="28" fillId="3" borderId="14" xfId="60" applyFont="1" applyFill="1" applyBorder="1" applyAlignment="1">
      <alignment horizontal="center" vertical="top" wrapText="1"/>
    </xf>
    <xf numFmtId="0" fontId="28" fillId="3" borderId="46" xfId="60" applyFont="1" applyFill="1" applyBorder="1" applyAlignment="1">
      <alignment horizontal="center" vertical="top" wrapText="1"/>
    </xf>
    <xf numFmtId="0" fontId="28" fillId="3" borderId="12" xfId="60" applyFont="1" applyFill="1" applyBorder="1" applyAlignment="1">
      <alignment horizontal="center" vertical="top" wrapText="1"/>
    </xf>
    <xf numFmtId="0" fontId="28" fillId="2" borderId="14" xfId="60" applyFont="1" applyFill="1" applyBorder="1" applyAlignment="1">
      <alignment horizontal="center" vertical="top" wrapText="1"/>
    </xf>
    <xf numFmtId="0" fontId="28" fillId="2" borderId="12" xfId="60" applyFont="1" applyFill="1" applyBorder="1" applyAlignment="1">
      <alignment horizontal="center" vertical="top" wrapText="1"/>
    </xf>
    <xf numFmtId="0" fontId="44" fillId="0" borderId="16" xfId="60" applyFont="1" applyBorder="1" applyAlignment="1">
      <alignment horizontal="center" wrapText="1"/>
    </xf>
    <xf numFmtId="0" fontId="44" fillId="0" borderId="17" xfId="60" applyFont="1" applyBorder="1" applyAlignment="1">
      <alignment horizontal="center" wrapText="1"/>
    </xf>
    <xf numFmtId="0" fontId="44" fillId="0" borderId="13" xfId="60" applyFont="1" applyBorder="1" applyAlignment="1">
      <alignment horizontal="center" wrapText="1"/>
    </xf>
    <xf numFmtId="0" fontId="44" fillId="0" borderId="0" xfId="60" applyFont="1" applyAlignment="1">
      <alignment horizontal="center" wrapText="1"/>
    </xf>
    <xf numFmtId="0" fontId="28" fillId="2" borderId="46" xfId="60" applyFont="1" applyFill="1" applyBorder="1" applyAlignment="1">
      <alignment horizontal="center" vertical="top" wrapText="1"/>
    </xf>
    <xf numFmtId="0" fontId="28" fillId="2" borderId="14" xfId="60" applyFont="1" applyFill="1" applyBorder="1" applyAlignment="1">
      <alignment horizontal="center" vertical="center" wrapText="1"/>
    </xf>
    <xf numFmtId="0" fontId="3" fillId="0" borderId="12" xfId="23" applyBorder="1" applyAlignment="1">
      <alignment horizontal="center" wrapText="1"/>
    </xf>
    <xf numFmtId="0" fontId="28" fillId="3" borderId="14" xfId="60" applyFont="1" applyFill="1" applyBorder="1" applyAlignment="1">
      <alignment horizontal="center" vertical="center" wrapText="1"/>
    </xf>
    <xf numFmtId="0" fontId="28" fillId="3" borderId="46" xfId="60" applyFont="1" applyFill="1" applyBorder="1" applyAlignment="1">
      <alignment horizontal="center" vertical="center" wrapText="1"/>
    </xf>
    <xf numFmtId="0" fontId="28" fillId="3" borderId="12" xfId="60" applyFont="1" applyFill="1" applyBorder="1" applyAlignment="1">
      <alignment horizontal="center" vertical="center" wrapText="1"/>
    </xf>
    <xf numFmtId="0" fontId="27" fillId="0" borderId="10" xfId="60" applyFont="1" applyBorder="1" applyAlignment="1">
      <alignment horizontal="center" vertical="center" wrapText="1"/>
    </xf>
    <xf numFmtId="0" fontId="27" fillId="0" borderId="11" xfId="60" applyFont="1" applyBorder="1" applyAlignment="1">
      <alignment horizontal="center" vertical="center" wrapText="1"/>
    </xf>
    <xf numFmtId="0" fontId="38" fillId="0" borderId="3" xfId="60" applyFont="1" applyBorder="1" applyAlignment="1">
      <alignment horizontal="center" vertical="center"/>
    </xf>
    <xf numFmtId="0" fontId="38" fillId="0" borderId="5" xfId="60" applyFont="1" applyBorder="1" applyAlignment="1">
      <alignment horizontal="center" vertical="center"/>
    </xf>
    <xf numFmtId="0" fontId="29" fillId="0" borderId="8" xfId="60" applyFont="1" applyBorder="1" applyAlignment="1">
      <alignment horizontal="center"/>
    </xf>
    <xf numFmtId="0" fontId="27" fillId="0" borderId="10" xfId="61" applyFont="1" applyBorder="1" applyAlignment="1">
      <alignment horizontal="center" vertical="center" wrapText="1"/>
    </xf>
    <xf numFmtId="0" fontId="27" fillId="0" borderId="9" xfId="61" applyFont="1" applyBorder="1" applyAlignment="1">
      <alignment horizontal="center" vertical="center" wrapText="1"/>
    </xf>
    <xf numFmtId="0" fontId="27" fillId="0" borderId="11" xfId="61" applyFont="1" applyBorder="1" applyAlignment="1">
      <alignment horizontal="center" vertical="center" wrapText="1"/>
    </xf>
    <xf numFmtId="0" fontId="27" fillId="0" borderId="3" xfId="61" applyFont="1" applyBorder="1" applyAlignment="1">
      <alignment horizontal="center" vertical="center" wrapText="1"/>
    </xf>
    <xf numFmtId="0" fontId="27" fillId="0" borderId="4" xfId="61" applyFont="1" applyBorder="1" applyAlignment="1">
      <alignment horizontal="center" vertical="center" wrapText="1"/>
    </xf>
    <xf numFmtId="0" fontId="27" fillId="0" borderId="5" xfId="61" applyFont="1" applyBorder="1" applyAlignment="1">
      <alignment horizontal="center" vertical="center" wrapText="1"/>
    </xf>
    <xf numFmtId="0" fontId="29" fillId="0" borderId="10" xfId="61" applyFont="1" applyBorder="1" applyAlignment="1">
      <alignment horizontal="center" vertical="center" wrapText="1"/>
    </xf>
    <xf numFmtId="0" fontId="29" fillId="0" borderId="9" xfId="61" applyFont="1" applyBorder="1" applyAlignment="1">
      <alignment horizontal="center" vertical="center" wrapText="1"/>
    </xf>
    <xf numFmtId="0" fontId="29" fillId="0" borderId="11" xfId="61" applyFont="1" applyBorder="1" applyAlignment="1">
      <alignment horizontal="center" vertical="center" wrapText="1"/>
    </xf>
    <xf numFmtId="0" fontId="29" fillId="0" borderId="3" xfId="61" applyFont="1" applyBorder="1" applyAlignment="1">
      <alignment horizontal="center" vertical="center" wrapText="1"/>
    </xf>
    <xf numFmtId="0" fontId="29" fillId="0" borderId="4" xfId="61" applyFont="1" applyBorder="1" applyAlignment="1">
      <alignment horizontal="center" vertical="center" wrapText="1"/>
    </xf>
    <xf numFmtId="0" fontId="29" fillId="0" borderId="5" xfId="61" applyFont="1" applyBorder="1" applyAlignment="1">
      <alignment horizontal="center" vertical="center" wrapText="1"/>
    </xf>
    <xf numFmtId="0" fontId="28" fillId="0" borderId="0" xfId="61" applyFont="1" applyAlignment="1">
      <alignment vertical="top" wrapText="1"/>
    </xf>
    <xf numFmtId="0" fontId="37" fillId="0" borderId="0" xfId="61" applyAlignment="1">
      <alignment wrapText="1"/>
    </xf>
    <xf numFmtId="0" fontId="29" fillId="0" borderId="0" xfId="61" applyFont="1" applyAlignment="1">
      <alignment vertical="top" wrapText="1"/>
    </xf>
    <xf numFmtId="0" fontId="37" fillId="0" borderId="0" xfId="61"/>
    <xf numFmtId="0" fontId="45" fillId="0" borderId="16" xfId="61" applyFont="1" applyBorder="1" applyAlignment="1">
      <alignment horizontal="center" wrapText="1"/>
    </xf>
    <xf numFmtId="0" fontId="28" fillId="0" borderId="17" xfId="61" applyFont="1" applyBorder="1"/>
    <xf numFmtId="0" fontId="28" fillId="0" borderId="13" xfId="61" applyFont="1" applyBorder="1"/>
    <xf numFmtId="0" fontId="0" fillId="0" borderId="0" xfId="0" applyAlignment="1">
      <alignment horizontal="left" vertical="top"/>
    </xf>
  </cellXfs>
  <cellStyles count="62">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Hyperlink" xfId="8" builtinId="8"/>
    <cellStyle name="Normal" xfId="0" builtinId="0"/>
    <cellStyle name="Normal 2" xfId="9" xr:uid="{00000000-0005-0000-0000-000009000000}"/>
    <cellStyle name="Normal 2 2" xfId="10" xr:uid="{00000000-0005-0000-0000-00000A000000}"/>
    <cellStyle name="Normal 2 2 2" xfId="11" xr:uid="{00000000-0005-0000-0000-00000B000000}"/>
    <cellStyle name="Normal 2 2 2 2" xfId="12" xr:uid="{00000000-0005-0000-0000-00000C000000}"/>
    <cellStyle name="Normal 2 2 2 2 2" xfId="13" xr:uid="{00000000-0005-0000-0000-00000D000000}"/>
    <cellStyle name="Normal 2 2 2 3" xfId="14" xr:uid="{00000000-0005-0000-0000-00000E000000}"/>
    <cellStyle name="Normal 2 2 2 3 2" xfId="15" xr:uid="{00000000-0005-0000-0000-00000F000000}"/>
    <cellStyle name="Normal 2 2 2 4" xfId="16" xr:uid="{00000000-0005-0000-0000-000010000000}"/>
    <cellStyle name="Normal 2 2 3" xfId="17" xr:uid="{00000000-0005-0000-0000-000011000000}"/>
    <cellStyle name="Normal 2 2 3 2" xfId="18" xr:uid="{00000000-0005-0000-0000-000012000000}"/>
    <cellStyle name="Normal 2 2 3 2 2" xfId="19" xr:uid="{00000000-0005-0000-0000-000013000000}"/>
    <cellStyle name="Normal 2 2 3 3" xfId="20" xr:uid="{00000000-0005-0000-0000-000014000000}"/>
    <cellStyle name="Normal 2 2 3 3 2" xfId="21" xr:uid="{00000000-0005-0000-0000-000015000000}"/>
    <cellStyle name="Normal 2 2 3 4" xfId="22" xr:uid="{00000000-0005-0000-0000-000016000000}"/>
    <cellStyle name="Normal 2 2 4" xfId="23" xr:uid="{00000000-0005-0000-0000-000017000000}"/>
    <cellStyle name="Normal 2 2 4 2" xfId="24" xr:uid="{00000000-0005-0000-0000-000018000000}"/>
    <cellStyle name="Normal 2 2 5" xfId="25" xr:uid="{00000000-0005-0000-0000-000019000000}"/>
    <cellStyle name="Normal 2 2 6" xfId="26" xr:uid="{00000000-0005-0000-0000-00001A000000}"/>
    <cellStyle name="Normal 2 2 7" xfId="27" xr:uid="{00000000-0005-0000-0000-00001B000000}"/>
    <cellStyle name="Normal 2 3" xfId="28" xr:uid="{00000000-0005-0000-0000-00001C000000}"/>
    <cellStyle name="Normal 2 3 2" xfId="29" xr:uid="{00000000-0005-0000-0000-00001D000000}"/>
    <cellStyle name="Normal 2 3 2 2" xfId="30" xr:uid="{00000000-0005-0000-0000-00001E000000}"/>
    <cellStyle name="Normal 2 3 3" xfId="31" xr:uid="{00000000-0005-0000-0000-00001F000000}"/>
    <cellStyle name="Normal 2 3 3 2" xfId="32" xr:uid="{00000000-0005-0000-0000-000020000000}"/>
    <cellStyle name="Normal 2 3 4" xfId="33" xr:uid="{00000000-0005-0000-0000-000021000000}"/>
    <cellStyle name="Normal 2 4" xfId="34" xr:uid="{00000000-0005-0000-0000-000022000000}"/>
    <cellStyle name="Normal 2 4 2" xfId="35" xr:uid="{00000000-0005-0000-0000-000023000000}"/>
    <cellStyle name="Normal 2 5" xfId="36" xr:uid="{00000000-0005-0000-0000-000024000000}"/>
    <cellStyle name="Normal 2 5 2" xfId="37" xr:uid="{00000000-0005-0000-0000-000025000000}"/>
    <cellStyle name="Normal 2 5 2 2" xfId="38" xr:uid="{00000000-0005-0000-0000-000026000000}"/>
    <cellStyle name="Normal 2 5 3" xfId="39" xr:uid="{00000000-0005-0000-0000-000027000000}"/>
    <cellStyle name="Normal 2 6" xfId="40" xr:uid="{00000000-0005-0000-0000-000028000000}"/>
    <cellStyle name="Normal 2 6 2" xfId="41" xr:uid="{00000000-0005-0000-0000-000029000000}"/>
    <cellStyle name="Normal 2 7" xfId="42" xr:uid="{00000000-0005-0000-0000-00002A000000}"/>
    <cellStyle name="Normal 2 7 2" xfId="43" xr:uid="{00000000-0005-0000-0000-00002B000000}"/>
    <cellStyle name="Normal 2 7 3" xfId="44" xr:uid="{00000000-0005-0000-0000-00002C000000}"/>
    <cellStyle name="Normal 2 8" xfId="45" xr:uid="{00000000-0005-0000-0000-00002D000000}"/>
    <cellStyle name="Normal 3" xfId="46" xr:uid="{00000000-0005-0000-0000-00002E000000}"/>
    <cellStyle name="Normal 3 2" xfId="47" xr:uid="{00000000-0005-0000-0000-00002F000000}"/>
    <cellStyle name="Normal 3 3" xfId="48" xr:uid="{00000000-0005-0000-0000-000030000000}"/>
    <cellStyle name="Normal 4" xfId="49" xr:uid="{00000000-0005-0000-0000-000031000000}"/>
    <cellStyle name="Normal 4 2" xfId="50" xr:uid="{00000000-0005-0000-0000-000032000000}"/>
    <cellStyle name="Normal 5" xfId="51" xr:uid="{00000000-0005-0000-0000-000033000000}"/>
    <cellStyle name="Normal 5 2" xfId="52" xr:uid="{00000000-0005-0000-0000-000034000000}"/>
    <cellStyle name="Normal 6" xfId="53" xr:uid="{00000000-0005-0000-0000-000035000000}"/>
    <cellStyle name="Normal 7" xfId="54" xr:uid="{00000000-0005-0000-0000-000036000000}"/>
    <cellStyle name="Normal 8" xfId="55" xr:uid="{00000000-0005-0000-0000-000037000000}"/>
    <cellStyle name="Normal 8 2" xfId="56" xr:uid="{00000000-0005-0000-0000-000038000000}"/>
    <cellStyle name="Normal_Estimated Flow-OE" xfId="57" xr:uid="{00000000-0005-0000-0000-000039000000}"/>
    <cellStyle name="Normal_Existing Dwellings" xfId="58" xr:uid="{00000000-0005-0000-0000-00003A000000}"/>
    <cellStyle name="Normal_Filter" xfId="59" xr:uid="{00000000-0005-0000-0000-00003B000000}"/>
    <cellStyle name="Normal_Sheet9" xfId="60" xr:uid="{00000000-0005-0000-0000-00003C000000}"/>
    <cellStyle name="Normal_Table IV" xfId="61" xr:uid="{00000000-0005-0000-0000-00003D00000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6600"/>
      <color rgb="FFFFFF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fmlaLink="$S$4" lockText="1" noThreeD="1"/>
</file>

<file path=xl/ctrlProps/ctrlProp47.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5.emf"/><Relationship Id="rId3" Type="http://schemas.openxmlformats.org/officeDocument/2006/relationships/image" Target="../media/image51.emf"/><Relationship Id="rId7" Type="http://schemas.openxmlformats.org/officeDocument/2006/relationships/image" Target="../media/image54.png"/><Relationship Id="rId2" Type="http://schemas.openxmlformats.org/officeDocument/2006/relationships/image" Target="../media/image50.emf"/><Relationship Id="rId1" Type="http://schemas.openxmlformats.org/officeDocument/2006/relationships/image" Target="../media/image49.emf"/><Relationship Id="rId6" Type="http://schemas.openxmlformats.org/officeDocument/2006/relationships/image" Target="../media/image53.png"/><Relationship Id="rId5" Type="http://schemas.openxmlformats.org/officeDocument/2006/relationships/image" Target="../media/image52.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61.jpeg"/><Relationship Id="rId3" Type="http://schemas.openxmlformats.org/officeDocument/2006/relationships/image" Target="../media/image58.png"/><Relationship Id="rId7" Type="http://schemas.openxmlformats.org/officeDocument/2006/relationships/image" Target="../media/image30.png"/><Relationship Id="rId2" Type="http://schemas.openxmlformats.org/officeDocument/2006/relationships/image" Target="../media/image57.png"/><Relationship Id="rId1" Type="http://schemas.openxmlformats.org/officeDocument/2006/relationships/image" Target="../media/image56.jpeg"/><Relationship Id="rId6" Type="http://schemas.openxmlformats.org/officeDocument/2006/relationships/image" Target="../media/image60.png"/><Relationship Id="rId5" Type="http://schemas.openxmlformats.org/officeDocument/2006/relationships/image" Target="../media/image59.emf"/><Relationship Id="rId4" Type="http://schemas.openxmlformats.org/officeDocument/2006/relationships/image" Target="../media/image4.png"/><Relationship Id="rId9" Type="http://schemas.openxmlformats.org/officeDocument/2006/relationships/image" Target="../media/image6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9.emf"/><Relationship Id="rId2" Type="http://schemas.openxmlformats.org/officeDocument/2006/relationships/image" Target="../media/image4.png"/><Relationship Id="rId1" Type="http://schemas.openxmlformats.org/officeDocument/2006/relationships/image" Target="../media/image64.jpeg"/><Relationship Id="rId6" Type="http://schemas.openxmlformats.org/officeDocument/2006/relationships/image" Target="../media/image61.jpeg"/><Relationship Id="rId5" Type="http://schemas.openxmlformats.org/officeDocument/2006/relationships/image" Target="../media/image53.png"/><Relationship Id="rId4" Type="http://schemas.openxmlformats.org/officeDocument/2006/relationships/image" Target="../media/image6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7.jpeg"/><Relationship Id="rId1" Type="http://schemas.openxmlformats.org/officeDocument/2006/relationships/image" Target="../media/image66.png"/><Relationship Id="rId6" Type="http://schemas.openxmlformats.org/officeDocument/2006/relationships/image" Target="../media/image68.emf"/><Relationship Id="rId5" Type="http://schemas.openxmlformats.org/officeDocument/2006/relationships/image" Target="../media/image48.png"/><Relationship Id="rId4"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4.jpeg"/><Relationship Id="rId1" Type="http://schemas.openxmlformats.org/officeDocument/2006/relationships/image" Target="../media/image69.jpeg"/><Relationship Id="rId6" Type="http://schemas.openxmlformats.org/officeDocument/2006/relationships/image" Target="../media/image71.png"/><Relationship Id="rId5" Type="http://schemas.openxmlformats.org/officeDocument/2006/relationships/image" Target="../media/image30.png"/><Relationship Id="rId4" Type="http://schemas.openxmlformats.org/officeDocument/2006/relationships/image" Target="../media/image7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4.jpeg"/><Relationship Id="rId1" Type="http://schemas.openxmlformats.org/officeDocument/2006/relationships/image" Target="../media/image69.jpeg"/><Relationship Id="rId6" Type="http://schemas.openxmlformats.org/officeDocument/2006/relationships/image" Target="../media/image71.png"/><Relationship Id="rId5" Type="http://schemas.openxmlformats.org/officeDocument/2006/relationships/image" Target="../media/image30.png"/><Relationship Id="rId4" Type="http://schemas.openxmlformats.org/officeDocument/2006/relationships/image" Target="../media/image7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7.jpeg"/><Relationship Id="rId1" Type="http://schemas.openxmlformats.org/officeDocument/2006/relationships/image" Target="../media/image72.png"/><Relationship Id="rId6" Type="http://schemas.openxmlformats.org/officeDocument/2006/relationships/image" Target="../media/image68.emf"/><Relationship Id="rId5" Type="http://schemas.openxmlformats.org/officeDocument/2006/relationships/image" Target="../media/image48.png"/><Relationship Id="rId4"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4.jpeg"/><Relationship Id="rId1" Type="http://schemas.openxmlformats.org/officeDocument/2006/relationships/image" Target="../media/image69.jpeg"/><Relationship Id="rId6" Type="http://schemas.openxmlformats.org/officeDocument/2006/relationships/image" Target="../media/image71.png"/><Relationship Id="rId5" Type="http://schemas.openxmlformats.org/officeDocument/2006/relationships/image" Target="../media/image30.png"/><Relationship Id="rId4"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4.jpeg"/><Relationship Id="rId1" Type="http://schemas.openxmlformats.org/officeDocument/2006/relationships/image" Target="../media/image69.jpeg"/><Relationship Id="rId6" Type="http://schemas.openxmlformats.org/officeDocument/2006/relationships/image" Target="../media/image71.png"/><Relationship Id="rId5" Type="http://schemas.openxmlformats.org/officeDocument/2006/relationships/image" Target="../media/image30.png"/><Relationship Id="rId4"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4.png"/><Relationship Id="rId1" Type="http://schemas.openxmlformats.org/officeDocument/2006/relationships/image" Target="../media/image74.jpeg"/><Relationship Id="rId6" Type="http://schemas.openxmlformats.org/officeDocument/2006/relationships/image" Target="../media/image76.emf"/><Relationship Id="rId5" Type="http://schemas.openxmlformats.org/officeDocument/2006/relationships/image" Target="../media/image75.emf"/><Relationship Id="rId4" Type="http://schemas.openxmlformats.org/officeDocument/2006/relationships/image" Target="../media/image4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77.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10.GIF"/><Relationship Id="rId2" Type="http://schemas.openxmlformats.org/officeDocument/2006/relationships/image" Target="../media/image6.jpeg"/><Relationship Id="rId1" Type="http://schemas.openxmlformats.org/officeDocument/2006/relationships/image" Target="../media/image5.jpeg"/><Relationship Id="rId6" Type="http://schemas.openxmlformats.org/officeDocument/2006/relationships/image" Target="../media/image9.jpe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image" Target="../media/image19.emf"/><Relationship Id="rId4"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image" Target="../media/image27.emf"/><Relationship Id="rId7" Type="http://schemas.openxmlformats.org/officeDocument/2006/relationships/image" Target="../media/image30.png"/><Relationship Id="rId2" Type="http://schemas.openxmlformats.org/officeDocument/2006/relationships/image" Target="../media/image4.png"/><Relationship Id="rId1" Type="http://schemas.openxmlformats.org/officeDocument/2006/relationships/image" Target="../media/image26.png"/><Relationship Id="rId6" Type="http://schemas.openxmlformats.org/officeDocument/2006/relationships/image" Target="../media/image29.jpeg"/><Relationship Id="rId5" Type="http://schemas.openxmlformats.org/officeDocument/2006/relationships/image" Target="../media/image13.png"/><Relationship Id="rId4" Type="http://schemas.openxmlformats.org/officeDocument/2006/relationships/image" Target="../media/image28.png"/><Relationship Id="rId9" Type="http://schemas.openxmlformats.org/officeDocument/2006/relationships/image" Target="../media/image32.emf"/></Relationships>
</file>

<file path=xl/drawings/_rels/drawing8.xml.rels><?xml version="1.0" encoding="UTF-8" standalone="yes"?>
<Relationships xmlns="http://schemas.openxmlformats.org/package/2006/relationships"><Relationship Id="rId8" Type="http://schemas.openxmlformats.org/officeDocument/2006/relationships/image" Target="../media/image43.emf"/><Relationship Id="rId3" Type="http://schemas.openxmlformats.org/officeDocument/2006/relationships/image" Target="../media/image4.png"/><Relationship Id="rId7" Type="http://schemas.openxmlformats.org/officeDocument/2006/relationships/image" Target="../media/image30.png"/><Relationship Id="rId2" Type="http://schemas.openxmlformats.org/officeDocument/2006/relationships/image" Target="../media/image40.emf"/><Relationship Id="rId1" Type="http://schemas.openxmlformats.org/officeDocument/2006/relationships/image" Target="../media/image39.emf"/><Relationship Id="rId6" Type="http://schemas.openxmlformats.org/officeDocument/2006/relationships/image" Target="../media/image42.jpeg"/><Relationship Id="rId5" Type="http://schemas.openxmlformats.org/officeDocument/2006/relationships/image" Target="../media/image41.png"/><Relationship Id="rId4" Type="http://schemas.openxmlformats.org/officeDocument/2006/relationships/image" Target="../media/image27.emf"/><Relationship Id="rId9" Type="http://schemas.openxmlformats.org/officeDocument/2006/relationships/image" Target="../media/image44.emf"/></Relationships>
</file>

<file path=xl/drawings/_rels/drawing9.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5" Type="http://schemas.openxmlformats.org/officeDocument/2006/relationships/image" Target="../media/image18.emf"/><Relationship Id="rId4" Type="http://schemas.openxmlformats.org/officeDocument/2006/relationships/image" Target="../media/image17.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 Id="rId4" Type="http://schemas.openxmlformats.org/officeDocument/2006/relationships/image" Target="../media/image25.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7.emf"/><Relationship Id="rId2" Type="http://schemas.openxmlformats.org/officeDocument/2006/relationships/image" Target="../media/image36.emf"/><Relationship Id="rId1" Type="http://schemas.openxmlformats.org/officeDocument/2006/relationships/image" Target="../media/image35.emf"/><Relationship Id="rId6" Type="http://schemas.openxmlformats.org/officeDocument/2006/relationships/image" Target="../media/image46.png"/><Relationship Id="rId5" Type="http://schemas.openxmlformats.org/officeDocument/2006/relationships/image" Target="../media/image45.emf"/><Relationship Id="rId4" Type="http://schemas.openxmlformats.org/officeDocument/2006/relationships/image" Target="../media/image3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3.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32731" cy="966788"/>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32731" cy="96678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62</xdr:row>
      <xdr:rowOff>95250</xdr:rowOff>
    </xdr:from>
    <xdr:to>
      <xdr:col>13</xdr:col>
      <xdr:colOff>476250</xdr:colOff>
      <xdr:row>75</xdr:row>
      <xdr:rowOff>79259</xdr:rowOff>
    </xdr:to>
    <xdr:pic>
      <xdr:nvPicPr>
        <xdr:cNvPr id="2990974" name="Picture 66">
          <a:extLst>
            <a:ext uri="{FF2B5EF4-FFF2-40B4-BE49-F238E27FC236}">
              <a16:creationId xmlns:a16="http://schemas.microsoft.com/office/drawing/2014/main" id="{00000000-0008-0000-0900-00007EA3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696825"/>
          <a:ext cx="6429375" cy="2460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75</xdr:row>
      <xdr:rowOff>133350</xdr:rowOff>
    </xdr:from>
    <xdr:to>
      <xdr:col>13</xdr:col>
      <xdr:colOff>314325</xdr:colOff>
      <xdr:row>86</xdr:row>
      <xdr:rowOff>180975</xdr:rowOff>
    </xdr:to>
    <xdr:pic>
      <xdr:nvPicPr>
        <xdr:cNvPr id="2990975" name="Picture 53">
          <a:extLst>
            <a:ext uri="{FF2B5EF4-FFF2-40B4-BE49-F238E27FC236}">
              <a16:creationId xmlns:a16="http://schemas.microsoft.com/office/drawing/2014/main" id="{00000000-0008-0000-0900-00007FA32D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5" r="3372" b="29065"/>
        <a:stretch/>
      </xdr:blipFill>
      <xdr:spPr bwMode="auto">
        <a:xfrm>
          <a:off x="38100" y="15211425"/>
          <a:ext cx="6276975" cy="214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108585</xdr:colOff>
      <xdr:row>67</xdr:row>
      <xdr:rowOff>9525</xdr:rowOff>
    </xdr:from>
    <xdr:to>
      <xdr:col>3</xdr:col>
      <xdr:colOff>223186</xdr:colOff>
      <xdr:row>68</xdr:row>
      <xdr:rowOff>38100</xdr:rowOff>
    </xdr:to>
    <xdr:sp macro="" textlink="K45">
      <xdr:nvSpPr>
        <xdr:cNvPr id="56088" name="Text Box 67">
          <a:extLst>
            <a:ext uri="{FF2B5EF4-FFF2-40B4-BE49-F238E27FC236}">
              <a16:creationId xmlns:a16="http://schemas.microsoft.com/office/drawing/2014/main" id="{00000000-0008-0000-0900-000018DB0000}"/>
            </a:ext>
          </a:extLst>
        </xdr:cNvPr>
        <xdr:cNvSpPr txBox="1">
          <a:spLocks noChangeArrowheads="1"/>
        </xdr:cNvSpPr>
      </xdr:nvSpPr>
      <xdr:spPr bwMode="auto">
        <a:xfrm>
          <a:off x="461010" y="13830300"/>
          <a:ext cx="596469" cy="219075"/>
        </a:xfrm>
        <a:prstGeom prst="rect">
          <a:avLst/>
        </a:prstGeom>
        <a:solidFill>
          <a:srgbClr val="CEE5ED"/>
        </a:solidFill>
        <a:ln w="9525">
          <a:solidFill>
            <a:srgbClr val="000000"/>
          </a:solidFill>
          <a:miter lim="800000"/>
          <a:headEnd/>
          <a:tailEnd/>
        </a:ln>
      </xdr:spPr>
      <xdr:txBody>
        <a:bodyPr anchor="ctr"/>
        <a:lstStyle/>
        <a:p>
          <a:pPr algn="ctr"/>
          <a:fld id="{F9D47719-2F71-414B-9797-42C3F5CFF578}" type="TxLink">
            <a:rPr lang="en-US" sz="1200" b="1" i="0" u="none" strike="noStrike">
              <a:solidFill>
                <a:srgbClr val="000000"/>
              </a:solidFill>
              <a:latin typeface="Trebuchet MS"/>
            </a:rPr>
            <a:pPr algn="ctr"/>
            <a:t> </a:t>
          </a:fld>
          <a:endParaRPr lang="en-US"/>
        </a:p>
      </xdr:txBody>
    </xdr:sp>
    <xdr:clientData/>
  </xdr:twoCellAnchor>
  <xdr:twoCellAnchor>
    <xdr:from>
      <xdr:col>6</xdr:col>
      <xdr:colOff>171450</xdr:colOff>
      <xdr:row>64</xdr:row>
      <xdr:rowOff>0</xdr:rowOff>
    </xdr:from>
    <xdr:to>
      <xdr:col>7</xdr:col>
      <xdr:colOff>327879</xdr:colOff>
      <xdr:row>65</xdr:row>
      <xdr:rowOff>38100</xdr:rowOff>
    </xdr:to>
    <xdr:sp macro="" textlink="$K$27">
      <xdr:nvSpPr>
        <xdr:cNvPr id="56090" name="Text Box 69">
          <a:extLst>
            <a:ext uri="{FF2B5EF4-FFF2-40B4-BE49-F238E27FC236}">
              <a16:creationId xmlns:a16="http://schemas.microsoft.com/office/drawing/2014/main" id="{00000000-0008-0000-0900-00001ADB0000}"/>
            </a:ext>
          </a:extLst>
        </xdr:cNvPr>
        <xdr:cNvSpPr txBox="1">
          <a:spLocks noChangeArrowheads="1"/>
        </xdr:cNvSpPr>
      </xdr:nvSpPr>
      <xdr:spPr bwMode="auto">
        <a:xfrm>
          <a:off x="2457450" y="13249275"/>
          <a:ext cx="647896" cy="228600"/>
        </a:xfrm>
        <a:prstGeom prst="rect">
          <a:avLst/>
        </a:prstGeom>
        <a:solidFill>
          <a:srgbClr val="CEE5ED"/>
        </a:solidFill>
        <a:ln w="9525">
          <a:solidFill>
            <a:srgbClr val="000000"/>
          </a:solidFill>
          <a:miter lim="800000"/>
          <a:headEnd/>
          <a:tailEnd/>
        </a:ln>
      </xdr:spPr>
      <xdr:txBody>
        <a:bodyPr anchor="ctr"/>
        <a:lstStyle/>
        <a:p>
          <a:pPr algn="ctr"/>
          <a:fld id="{39036884-5E71-4F13-B211-F5E3AA756F0D}" type="TxLink">
            <a:rPr lang="en-US" sz="1200" b="1" i="0" u="none" strike="noStrike">
              <a:solidFill>
                <a:srgbClr val="000000"/>
              </a:solidFill>
              <a:latin typeface="Trebuchet MS"/>
            </a:rPr>
            <a:pPr algn="ctr"/>
            <a:t> </a:t>
          </a:fld>
          <a:endParaRPr lang="en-US"/>
        </a:p>
      </xdr:txBody>
    </xdr:sp>
    <xdr:clientData/>
  </xdr:twoCellAnchor>
  <xdr:twoCellAnchor>
    <xdr:from>
      <xdr:col>6</xdr:col>
      <xdr:colOff>146685</xdr:colOff>
      <xdr:row>70</xdr:row>
      <xdr:rowOff>19050</xdr:rowOff>
    </xdr:from>
    <xdr:to>
      <xdr:col>7</xdr:col>
      <xdr:colOff>324427</xdr:colOff>
      <xdr:row>71</xdr:row>
      <xdr:rowOff>40071</xdr:rowOff>
    </xdr:to>
    <xdr:sp macro="" textlink="$K$40">
      <xdr:nvSpPr>
        <xdr:cNvPr id="56091" name="Text Box 70">
          <a:extLst>
            <a:ext uri="{FF2B5EF4-FFF2-40B4-BE49-F238E27FC236}">
              <a16:creationId xmlns:a16="http://schemas.microsoft.com/office/drawing/2014/main" id="{00000000-0008-0000-0900-00001BDB0000}"/>
            </a:ext>
          </a:extLst>
        </xdr:cNvPr>
        <xdr:cNvSpPr txBox="1">
          <a:spLocks noChangeArrowheads="1"/>
        </xdr:cNvSpPr>
      </xdr:nvSpPr>
      <xdr:spPr bwMode="auto">
        <a:xfrm>
          <a:off x="2447925" y="14411325"/>
          <a:ext cx="647896" cy="211521"/>
        </a:xfrm>
        <a:prstGeom prst="rect">
          <a:avLst/>
        </a:prstGeom>
        <a:solidFill>
          <a:srgbClr val="CEE5ED"/>
        </a:solidFill>
        <a:ln w="9525">
          <a:solidFill>
            <a:srgbClr val="000000"/>
          </a:solidFill>
          <a:miter lim="800000"/>
          <a:headEnd/>
          <a:tailEnd/>
        </a:ln>
      </xdr:spPr>
      <xdr:txBody>
        <a:bodyPr anchor="ctr"/>
        <a:lstStyle/>
        <a:p>
          <a:pPr algn="ctr"/>
          <a:fld id="{4D61A677-CAC7-48CC-8B39-73CE44EEE199}" type="TxLink">
            <a:rPr lang="en-US" sz="1200" b="1" i="0" u="none" strike="noStrike">
              <a:solidFill>
                <a:srgbClr val="000000"/>
              </a:solidFill>
              <a:latin typeface="Trebuchet MS"/>
            </a:rPr>
            <a:pPr algn="ctr"/>
            <a:t> </a:t>
          </a:fld>
          <a:endParaRPr lang="en-US"/>
        </a:p>
      </xdr:txBody>
    </xdr:sp>
    <xdr:clientData/>
  </xdr:twoCellAnchor>
  <xdr:twoCellAnchor>
    <xdr:from>
      <xdr:col>0</xdr:col>
      <xdr:colOff>66675</xdr:colOff>
      <xdr:row>63</xdr:row>
      <xdr:rowOff>163830</xdr:rowOff>
    </xdr:from>
    <xdr:to>
      <xdr:col>1</xdr:col>
      <xdr:colOff>114300</xdr:colOff>
      <xdr:row>67</xdr:row>
      <xdr:rowOff>66697</xdr:rowOff>
    </xdr:to>
    <xdr:sp macro="" textlink="I47">
      <xdr:nvSpPr>
        <xdr:cNvPr id="56092" name="Text Box 71">
          <a:extLst>
            <a:ext uri="{FF2B5EF4-FFF2-40B4-BE49-F238E27FC236}">
              <a16:creationId xmlns:a16="http://schemas.microsoft.com/office/drawing/2014/main" id="{00000000-0008-0000-0900-00001CDB0000}"/>
            </a:ext>
          </a:extLst>
        </xdr:cNvPr>
        <xdr:cNvSpPr txBox="1">
          <a:spLocks noChangeArrowheads="1"/>
        </xdr:cNvSpPr>
      </xdr:nvSpPr>
      <xdr:spPr bwMode="auto">
        <a:xfrm>
          <a:off x="66675" y="13230225"/>
          <a:ext cx="219075" cy="657225"/>
        </a:xfrm>
        <a:prstGeom prst="rect">
          <a:avLst/>
        </a:prstGeom>
        <a:solidFill>
          <a:srgbClr val="CEE5ED"/>
        </a:solidFill>
        <a:ln w="9525">
          <a:solidFill>
            <a:srgbClr val="000000"/>
          </a:solidFill>
          <a:miter lim="800000"/>
          <a:headEnd/>
          <a:tailEnd/>
        </a:ln>
      </xdr:spPr>
      <xdr:txBody>
        <a:bodyPr vert="vert270" anchor="ctr" anchorCtr="1"/>
        <a:lstStyle/>
        <a:p>
          <a:fld id="{4124A64E-7EFB-40F3-BBF0-193817F71335}" type="TxLink">
            <a:rPr lang="en-US" sz="1200" b="1" i="0" u="none" strike="noStrike">
              <a:solidFill>
                <a:srgbClr val="000000"/>
              </a:solidFill>
              <a:latin typeface="Trebuchet MS"/>
            </a:rPr>
            <a:pPr/>
            <a:t> </a:t>
          </a:fld>
          <a:endParaRPr lang="en-US"/>
        </a:p>
      </xdr:txBody>
    </xdr:sp>
    <xdr:clientData/>
  </xdr:twoCellAnchor>
  <xdr:twoCellAnchor>
    <xdr:from>
      <xdr:col>7</xdr:col>
      <xdr:colOff>171450</xdr:colOff>
      <xdr:row>73</xdr:row>
      <xdr:rowOff>104775</xdr:rowOff>
    </xdr:from>
    <xdr:to>
      <xdr:col>9</xdr:col>
      <xdr:colOff>32766</xdr:colOff>
      <xdr:row>74</xdr:row>
      <xdr:rowOff>125796</xdr:rowOff>
    </xdr:to>
    <xdr:sp macro="" textlink="L49">
      <xdr:nvSpPr>
        <xdr:cNvPr id="56093" name="Text Box 72">
          <a:extLst>
            <a:ext uri="{FF2B5EF4-FFF2-40B4-BE49-F238E27FC236}">
              <a16:creationId xmlns:a16="http://schemas.microsoft.com/office/drawing/2014/main" id="{00000000-0008-0000-0900-00001DDB0000}"/>
            </a:ext>
          </a:extLst>
        </xdr:cNvPr>
        <xdr:cNvSpPr txBox="1">
          <a:spLocks noChangeArrowheads="1"/>
        </xdr:cNvSpPr>
      </xdr:nvSpPr>
      <xdr:spPr bwMode="auto">
        <a:xfrm>
          <a:off x="2943225" y="15068550"/>
          <a:ext cx="832866" cy="219075"/>
        </a:xfrm>
        <a:prstGeom prst="rect">
          <a:avLst/>
        </a:prstGeom>
        <a:solidFill>
          <a:srgbClr val="CEE5ED"/>
        </a:solidFill>
        <a:ln w="9525">
          <a:solidFill>
            <a:srgbClr val="000000"/>
          </a:solidFill>
          <a:miter lim="800000"/>
          <a:headEnd/>
          <a:tailEnd/>
        </a:ln>
      </xdr:spPr>
      <xdr:txBody>
        <a:bodyPr anchor="ctr"/>
        <a:lstStyle/>
        <a:p>
          <a:pPr algn="ctr"/>
          <a:fld id="{DC467CBC-A206-45B1-B5B0-AC6B44E8C64E}" type="TxLink">
            <a:rPr lang="en-US" sz="1200" b="1" i="0" u="none" strike="noStrike">
              <a:solidFill>
                <a:srgbClr val="000000"/>
              </a:solidFill>
              <a:latin typeface="Trebuchet MS"/>
            </a:rPr>
            <a:pPr algn="ctr"/>
            <a:t> </a:t>
          </a:fld>
          <a:endParaRPr lang="en-US"/>
        </a:p>
      </xdr:txBody>
    </xdr:sp>
    <xdr:clientData/>
  </xdr:twoCellAnchor>
  <xdr:twoCellAnchor>
    <xdr:from>
      <xdr:col>9</xdr:col>
      <xdr:colOff>323850</xdr:colOff>
      <xdr:row>66</xdr:row>
      <xdr:rowOff>125730</xdr:rowOff>
    </xdr:from>
    <xdr:to>
      <xdr:col>10</xdr:col>
      <xdr:colOff>362422</xdr:colOff>
      <xdr:row>67</xdr:row>
      <xdr:rowOff>154585</xdr:rowOff>
    </xdr:to>
    <xdr:sp macro="" textlink="K8">
      <xdr:nvSpPr>
        <xdr:cNvPr id="56094" name="Text Box 73">
          <a:extLst>
            <a:ext uri="{FF2B5EF4-FFF2-40B4-BE49-F238E27FC236}">
              <a16:creationId xmlns:a16="http://schemas.microsoft.com/office/drawing/2014/main" id="{00000000-0008-0000-0900-00001EDB0000}"/>
            </a:ext>
          </a:extLst>
        </xdr:cNvPr>
        <xdr:cNvSpPr txBox="1">
          <a:spLocks noChangeArrowheads="1"/>
        </xdr:cNvSpPr>
      </xdr:nvSpPr>
      <xdr:spPr bwMode="auto">
        <a:xfrm>
          <a:off x="4251960" y="15611475"/>
          <a:ext cx="581080" cy="211521"/>
        </a:xfrm>
        <a:prstGeom prst="rect">
          <a:avLst/>
        </a:prstGeom>
        <a:solidFill>
          <a:srgbClr val="CEE5ED"/>
        </a:solidFill>
        <a:ln w="9525">
          <a:solidFill>
            <a:srgbClr val="000000"/>
          </a:solidFill>
          <a:miter lim="800000"/>
          <a:headEnd/>
          <a:tailEnd/>
        </a:ln>
      </xdr:spPr>
      <xdr:txBody>
        <a:bodyPr anchor="ctr"/>
        <a:lstStyle/>
        <a:p>
          <a:pPr algn="ctr"/>
          <a:fld id="{4427215D-A462-4ECF-A930-1773234065A2}" type="TxLink">
            <a:rPr lang="en-US" sz="1200" b="1" i="0" u="none" strike="noStrike">
              <a:solidFill>
                <a:srgbClr val="000000"/>
              </a:solidFill>
              <a:latin typeface="Trebuchet MS"/>
            </a:rPr>
            <a:pPr algn="ctr"/>
            <a:t> </a:t>
          </a:fld>
          <a:endParaRPr lang="en-US"/>
        </a:p>
      </xdr:txBody>
    </xdr:sp>
    <xdr:clientData/>
  </xdr:twoCellAnchor>
  <xdr:twoCellAnchor>
    <xdr:from>
      <xdr:col>10</xdr:col>
      <xdr:colOff>476250</xdr:colOff>
      <xdr:row>66</xdr:row>
      <xdr:rowOff>125730</xdr:rowOff>
    </xdr:from>
    <xdr:to>
      <xdr:col>12</xdr:col>
      <xdr:colOff>30814</xdr:colOff>
      <xdr:row>67</xdr:row>
      <xdr:rowOff>162129</xdr:rowOff>
    </xdr:to>
    <xdr:sp macro="" textlink="K10">
      <xdr:nvSpPr>
        <xdr:cNvPr id="56095" name="Text Box 74">
          <a:extLst>
            <a:ext uri="{FF2B5EF4-FFF2-40B4-BE49-F238E27FC236}">
              <a16:creationId xmlns:a16="http://schemas.microsoft.com/office/drawing/2014/main" id="{00000000-0008-0000-0900-00001FDB0000}"/>
            </a:ext>
          </a:extLst>
        </xdr:cNvPr>
        <xdr:cNvSpPr txBox="1">
          <a:spLocks noChangeArrowheads="1"/>
        </xdr:cNvSpPr>
      </xdr:nvSpPr>
      <xdr:spPr bwMode="auto">
        <a:xfrm>
          <a:off x="4932045" y="15603855"/>
          <a:ext cx="585490" cy="226899"/>
        </a:xfrm>
        <a:prstGeom prst="rect">
          <a:avLst/>
        </a:prstGeom>
        <a:solidFill>
          <a:srgbClr val="CEE5ED"/>
        </a:solidFill>
        <a:ln w="9525">
          <a:solidFill>
            <a:srgbClr val="000000"/>
          </a:solidFill>
          <a:miter lim="800000"/>
          <a:headEnd/>
          <a:tailEnd/>
        </a:ln>
      </xdr:spPr>
      <xdr:txBody>
        <a:bodyPr anchor="ctr"/>
        <a:lstStyle/>
        <a:p>
          <a:pPr algn="ctr"/>
          <a:fld id="{4F0F459F-7F7D-46ED-A8DB-617A062F045F}" type="TxLink">
            <a:rPr lang="en-US" sz="1200" b="1" i="0" u="none" strike="noStrike">
              <a:solidFill>
                <a:srgbClr val="000000"/>
              </a:solidFill>
              <a:latin typeface="Trebuchet MS"/>
            </a:rPr>
            <a:pPr algn="ctr"/>
            <a:t> </a:t>
          </a:fld>
          <a:endParaRPr lang="en-US"/>
        </a:p>
      </xdr:txBody>
    </xdr:sp>
    <xdr:clientData/>
  </xdr:twoCellAnchor>
  <xdr:twoCellAnchor>
    <xdr:from>
      <xdr:col>3</xdr:col>
      <xdr:colOff>397510</xdr:colOff>
      <xdr:row>76</xdr:row>
      <xdr:rowOff>63500</xdr:rowOff>
    </xdr:from>
    <xdr:to>
      <xdr:col>4</xdr:col>
      <xdr:colOff>426729</xdr:colOff>
      <xdr:row>77</xdr:row>
      <xdr:rowOff>53974</xdr:rowOff>
    </xdr:to>
    <xdr:sp macro="" textlink="$K$27">
      <xdr:nvSpPr>
        <xdr:cNvPr id="56096" name="Text Box 75">
          <a:extLst>
            <a:ext uri="{FF2B5EF4-FFF2-40B4-BE49-F238E27FC236}">
              <a16:creationId xmlns:a16="http://schemas.microsoft.com/office/drawing/2014/main" id="{00000000-0008-0000-0900-000020DB0000}"/>
            </a:ext>
          </a:extLst>
        </xdr:cNvPr>
        <xdr:cNvSpPr txBox="1">
          <a:spLocks noChangeArrowheads="1"/>
        </xdr:cNvSpPr>
      </xdr:nvSpPr>
      <xdr:spPr bwMode="auto">
        <a:xfrm>
          <a:off x="1273810" y="15887700"/>
          <a:ext cx="549919" cy="180974"/>
        </a:xfrm>
        <a:prstGeom prst="rect">
          <a:avLst/>
        </a:prstGeom>
        <a:solidFill>
          <a:srgbClr val="CEE5ED"/>
        </a:solidFill>
        <a:ln w="9525">
          <a:solidFill>
            <a:srgbClr val="000000"/>
          </a:solidFill>
          <a:miter lim="800000"/>
          <a:headEnd/>
          <a:tailEnd/>
        </a:ln>
      </xdr:spPr>
      <xdr:txBody>
        <a:bodyPr anchor="ctr"/>
        <a:lstStyle/>
        <a:p>
          <a:pPr algn="ctr"/>
          <a:fld id="{B1514EF5-D0BD-4EE9-B785-E5170B5C799A}" type="TxLink">
            <a:rPr lang="en-US" sz="1200" b="1" i="0" u="none" strike="noStrike">
              <a:solidFill>
                <a:srgbClr val="000000"/>
              </a:solidFill>
              <a:latin typeface="Trebuchet MS"/>
            </a:rPr>
            <a:pPr algn="ctr"/>
            <a:t> </a:t>
          </a:fld>
          <a:endParaRPr lang="en-US"/>
        </a:p>
      </xdr:txBody>
    </xdr:sp>
    <xdr:clientData/>
  </xdr:twoCellAnchor>
  <xdr:twoCellAnchor>
    <xdr:from>
      <xdr:col>6</xdr:col>
      <xdr:colOff>365760</xdr:colOff>
      <xdr:row>76</xdr:row>
      <xdr:rowOff>142875</xdr:rowOff>
    </xdr:from>
    <xdr:to>
      <xdr:col>8</xdr:col>
      <xdr:colOff>142867</xdr:colOff>
      <xdr:row>77</xdr:row>
      <xdr:rowOff>171450</xdr:rowOff>
    </xdr:to>
    <xdr:sp macro="" textlink="$K$40">
      <xdr:nvSpPr>
        <xdr:cNvPr id="56097" name="Text Box 76">
          <a:extLst>
            <a:ext uri="{FF2B5EF4-FFF2-40B4-BE49-F238E27FC236}">
              <a16:creationId xmlns:a16="http://schemas.microsoft.com/office/drawing/2014/main" id="{00000000-0008-0000-0900-000021DB0000}"/>
            </a:ext>
          </a:extLst>
        </xdr:cNvPr>
        <xdr:cNvSpPr txBox="1">
          <a:spLocks noChangeArrowheads="1"/>
        </xdr:cNvSpPr>
      </xdr:nvSpPr>
      <xdr:spPr bwMode="auto">
        <a:xfrm>
          <a:off x="2804160" y="15967075"/>
          <a:ext cx="818507" cy="219075"/>
        </a:xfrm>
        <a:prstGeom prst="rect">
          <a:avLst/>
        </a:prstGeom>
        <a:solidFill>
          <a:srgbClr val="CEE5ED"/>
        </a:solidFill>
        <a:ln w="9525">
          <a:solidFill>
            <a:srgbClr val="000000"/>
          </a:solidFill>
          <a:miter lim="800000"/>
          <a:headEnd/>
          <a:tailEnd/>
        </a:ln>
      </xdr:spPr>
      <xdr:txBody>
        <a:bodyPr anchor="ctr"/>
        <a:lstStyle/>
        <a:p>
          <a:pPr algn="ctr"/>
          <a:fld id="{0EE7A48B-9547-4204-A867-47E5749309BD}" type="TxLink">
            <a:rPr lang="en-US" sz="1200" b="1" i="0" u="none" strike="noStrike">
              <a:solidFill>
                <a:srgbClr val="000000"/>
              </a:solidFill>
              <a:latin typeface="Trebuchet MS"/>
            </a:rPr>
            <a:pPr algn="ctr"/>
            <a:t> </a:t>
          </a:fld>
          <a:endParaRPr lang="en-US"/>
        </a:p>
      </xdr:txBody>
    </xdr:sp>
    <xdr:clientData/>
  </xdr:twoCellAnchor>
  <xdr:twoCellAnchor>
    <xdr:from>
      <xdr:col>5</xdr:col>
      <xdr:colOff>398145</xdr:colOff>
      <xdr:row>84</xdr:row>
      <xdr:rowOff>24130</xdr:rowOff>
    </xdr:from>
    <xdr:to>
      <xdr:col>7</xdr:col>
      <xdr:colOff>32391</xdr:colOff>
      <xdr:row>85</xdr:row>
      <xdr:rowOff>60529</xdr:rowOff>
    </xdr:to>
    <xdr:sp macro="" textlink="K8">
      <xdr:nvSpPr>
        <xdr:cNvPr id="56098" name="Text Box 77">
          <a:extLst>
            <a:ext uri="{FF2B5EF4-FFF2-40B4-BE49-F238E27FC236}">
              <a16:creationId xmlns:a16="http://schemas.microsoft.com/office/drawing/2014/main" id="{00000000-0008-0000-0900-000022DB0000}"/>
            </a:ext>
          </a:extLst>
        </xdr:cNvPr>
        <xdr:cNvSpPr txBox="1">
          <a:spLocks noChangeArrowheads="1"/>
        </xdr:cNvSpPr>
      </xdr:nvSpPr>
      <xdr:spPr bwMode="auto">
        <a:xfrm>
          <a:off x="2315845" y="17372330"/>
          <a:ext cx="675646" cy="226899"/>
        </a:xfrm>
        <a:prstGeom prst="rect">
          <a:avLst/>
        </a:prstGeom>
        <a:solidFill>
          <a:srgbClr val="CEE5ED"/>
        </a:solidFill>
        <a:ln w="9525">
          <a:solidFill>
            <a:srgbClr val="000000"/>
          </a:solidFill>
          <a:miter lim="800000"/>
          <a:headEnd/>
          <a:tailEnd/>
        </a:ln>
      </xdr:spPr>
      <xdr:txBody>
        <a:bodyPr anchor="ctr"/>
        <a:lstStyle/>
        <a:p>
          <a:pPr algn="ctr"/>
          <a:fld id="{E6D7E215-1529-406B-BDFA-07521D44E692}" type="TxLink">
            <a:rPr lang="en-US" sz="1200" b="1" i="0" u="none" strike="noStrike">
              <a:solidFill>
                <a:srgbClr val="000000"/>
              </a:solidFill>
              <a:latin typeface="Trebuchet MS"/>
            </a:rPr>
            <a:pPr algn="ctr"/>
            <a:t> </a:t>
          </a:fld>
          <a:endParaRPr lang="en-US"/>
        </a:p>
      </xdr:txBody>
    </xdr:sp>
    <xdr:clientData/>
  </xdr:twoCellAnchor>
  <xdr:twoCellAnchor editAs="oneCell">
    <xdr:from>
      <xdr:col>14</xdr:col>
      <xdr:colOff>238125</xdr:colOff>
      <xdr:row>21</xdr:row>
      <xdr:rowOff>152400</xdr:rowOff>
    </xdr:from>
    <xdr:to>
      <xdr:col>20</xdr:col>
      <xdr:colOff>342900</xdr:colOff>
      <xdr:row>54</xdr:row>
      <xdr:rowOff>171450</xdr:rowOff>
    </xdr:to>
    <xdr:pic>
      <xdr:nvPicPr>
        <xdr:cNvPr id="2990986" name="Picture 79">
          <a:extLst>
            <a:ext uri="{FF2B5EF4-FFF2-40B4-BE49-F238E27FC236}">
              <a16:creationId xmlns:a16="http://schemas.microsoft.com/office/drawing/2014/main" id="{00000000-0008-0000-0900-00008AA3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53225" y="4848225"/>
          <a:ext cx="2790825" cy="633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143781</xdr:colOff>
      <xdr:row>0</xdr:row>
      <xdr:rowOff>57150</xdr:rowOff>
    </xdr:from>
    <xdr:to>
      <xdr:col>4</xdr:col>
      <xdr:colOff>47624</xdr:colOff>
      <xdr:row>0</xdr:row>
      <xdr:rowOff>781050</xdr:rowOff>
    </xdr:to>
    <xdr:pic>
      <xdr:nvPicPr>
        <xdr:cNvPr id="2990987" name="Picture 84" descr="mpca-center-4c">
          <a:extLst>
            <a:ext uri="{FF2B5EF4-FFF2-40B4-BE49-F238E27FC236}">
              <a16:creationId xmlns:a16="http://schemas.microsoft.com/office/drawing/2014/main" id="{00000000-0008-0000-0900-00008BA32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3781" y="57150"/>
          <a:ext cx="127544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400050</xdr:colOff>
      <xdr:row>0</xdr:row>
      <xdr:rowOff>276225</xdr:rowOff>
    </xdr:from>
    <xdr:to>
      <xdr:col>12</xdr:col>
      <xdr:colOff>0</xdr:colOff>
      <xdr:row>0</xdr:row>
      <xdr:rowOff>619125</xdr:rowOff>
    </xdr:to>
    <xdr:pic>
      <xdr:nvPicPr>
        <xdr:cNvPr id="2990988" name="Picture 19" descr="Cwdmk.tif">
          <a:extLst>
            <a:ext uri="{FF2B5EF4-FFF2-40B4-BE49-F238E27FC236}">
              <a16:creationId xmlns:a16="http://schemas.microsoft.com/office/drawing/2014/main" id="{00000000-0008-0000-0900-00008CA32D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43400" y="276225"/>
          <a:ext cx="11430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47625</xdr:colOff>
      <xdr:row>0</xdr:row>
      <xdr:rowOff>123825</xdr:rowOff>
    </xdr:from>
    <xdr:to>
      <xdr:col>13</xdr:col>
      <xdr:colOff>466725</xdr:colOff>
      <xdr:row>0</xdr:row>
      <xdr:rowOff>685800</xdr:rowOff>
    </xdr:to>
    <xdr:pic>
      <xdr:nvPicPr>
        <xdr:cNvPr id="2990989" name="Picture 20" descr="ostp logo PANTONE 328.tif">
          <a:extLst>
            <a:ext uri="{FF2B5EF4-FFF2-40B4-BE49-F238E27FC236}">
              <a16:creationId xmlns:a16="http://schemas.microsoft.com/office/drawing/2014/main" id="{00000000-0008-0000-0900-00008DA32D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34025" y="123825"/>
          <a:ext cx="933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285750</xdr:colOff>
      <xdr:row>66</xdr:row>
      <xdr:rowOff>161925</xdr:rowOff>
    </xdr:from>
    <xdr:to>
      <xdr:col>13</xdr:col>
      <xdr:colOff>425015</xdr:colOff>
      <xdr:row>68</xdr:row>
      <xdr:rowOff>0</xdr:rowOff>
    </xdr:to>
    <xdr:sp macro="" textlink="K45">
      <xdr:nvSpPr>
        <xdr:cNvPr id="21" name="Text Box 68">
          <a:extLst>
            <a:ext uri="{FF2B5EF4-FFF2-40B4-BE49-F238E27FC236}">
              <a16:creationId xmlns:a16="http://schemas.microsoft.com/office/drawing/2014/main" id="{00000000-0008-0000-0900-000015000000}"/>
            </a:ext>
          </a:extLst>
        </xdr:cNvPr>
        <xdr:cNvSpPr txBox="1">
          <a:spLocks noChangeArrowheads="1"/>
        </xdr:cNvSpPr>
      </xdr:nvSpPr>
      <xdr:spPr bwMode="auto">
        <a:xfrm>
          <a:off x="5772150" y="15640050"/>
          <a:ext cx="666750" cy="219075"/>
        </a:xfrm>
        <a:prstGeom prst="rect">
          <a:avLst/>
        </a:prstGeom>
        <a:solidFill>
          <a:srgbClr val="CEE5ED"/>
        </a:solidFill>
        <a:ln w="9525">
          <a:solidFill>
            <a:srgbClr val="000000"/>
          </a:solidFill>
          <a:miter lim="800000"/>
          <a:headEnd/>
          <a:tailEnd/>
        </a:ln>
      </xdr:spPr>
      <xdr:txBody>
        <a:bodyPr anchor="ctr"/>
        <a:lstStyle/>
        <a:p>
          <a:pPr algn="ctr"/>
          <a:fld id="{5534AACB-2A00-40A0-9634-C5C093282B09}" type="TxLink">
            <a:rPr lang="en-US" sz="1200" b="1" i="0" u="none" strike="noStrike">
              <a:solidFill>
                <a:srgbClr val="000000"/>
              </a:solidFill>
              <a:latin typeface="Trebuchet MS"/>
            </a:rPr>
            <a:pPr algn="ctr"/>
            <a:t> </a:t>
          </a:fld>
          <a:endParaRPr lang="en-US"/>
        </a:p>
      </xdr:txBody>
    </xdr:sp>
    <xdr:clientData/>
  </xdr:twoCellAnchor>
  <xdr:twoCellAnchor editAs="oneCell">
    <xdr:from>
      <xdr:col>14</xdr:col>
      <xdr:colOff>247650</xdr:colOff>
      <xdr:row>0</xdr:row>
      <xdr:rowOff>9525</xdr:rowOff>
    </xdr:from>
    <xdr:to>
      <xdr:col>21</xdr:col>
      <xdr:colOff>142875</xdr:colOff>
      <xdr:row>21</xdr:row>
      <xdr:rowOff>76200</xdr:rowOff>
    </xdr:to>
    <xdr:pic>
      <xdr:nvPicPr>
        <xdr:cNvPr id="2990991" name="Picture 2">
          <a:extLst>
            <a:ext uri="{FF2B5EF4-FFF2-40B4-BE49-F238E27FC236}">
              <a16:creationId xmlns:a16="http://schemas.microsoft.com/office/drawing/2014/main" id="{00000000-0008-0000-0900-00008FA32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8950" y="9525"/>
          <a:ext cx="2962275" cy="476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210906</xdr:colOff>
      <xdr:row>1</xdr:row>
      <xdr:rowOff>100013</xdr:rowOff>
    </xdr:from>
    <xdr:to>
      <xdr:col>24</xdr:col>
      <xdr:colOff>1205</xdr:colOff>
      <xdr:row>18</xdr:row>
      <xdr:rowOff>23812</xdr:rowOff>
    </xdr:to>
    <xdr:pic>
      <xdr:nvPicPr>
        <xdr:cNvPr id="20" name="Picture 19">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211781" y="909638"/>
          <a:ext cx="4286099" cy="3167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228600</xdr:colOff>
      <xdr:row>0</xdr:row>
      <xdr:rowOff>28575</xdr:rowOff>
    </xdr:from>
    <xdr:to>
      <xdr:col>23</xdr:col>
      <xdr:colOff>352425</xdr:colOff>
      <xdr:row>1</xdr:row>
      <xdr:rowOff>71438</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7229475" y="28575"/>
          <a:ext cx="4238625" cy="8524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14</xdr:col>
      <xdr:colOff>195263</xdr:colOff>
      <xdr:row>18</xdr:row>
      <xdr:rowOff>28575</xdr:rowOff>
    </xdr:from>
    <xdr:to>
      <xdr:col>24</xdr:col>
      <xdr:colOff>9525</xdr:colOff>
      <xdr:row>21</xdr:row>
      <xdr:rowOff>100012</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7196138" y="4081463"/>
          <a:ext cx="4338637" cy="7667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152400</xdr:colOff>
      <xdr:row>61</xdr:row>
      <xdr:rowOff>123825</xdr:rowOff>
    </xdr:from>
    <xdr:to>
      <xdr:col>17</xdr:col>
      <xdr:colOff>333375</xdr:colOff>
      <xdr:row>72</xdr:row>
      <xdr:rowOff>28575</xdr:rowOff>
    </xdr:to>
    <xdr:pic>
      <xdr:nvPicPr>
        <xdr:cNvPr id="3001453" name="Picture 99" descr="Volume of Pipe">
          <a:extLst>
            <a:ext uri="{FF2B5EF4-FFF2-40B4-BE49-F238E27FC236}">
              <a16:creationId xmlns:a16="http://schemas.microsoft.com/office/drawing/2014/main" id="{00000000-0008-0000-0A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72</xdr:row>
      <xdr:rowOff>95250</xdr:rowOff>
    </xdr:from>
    <xdr:to>
      <xdr:col>17</xdr:col>
      <xdr:colOff>304800</xdr:colOff>
      <xdr:row>75</xdr:row>
      <xdr:rowOff>276225</xdr:rowOff>
    </xdr:to>
    <xdr:pic>
      <xdr:nvPicPr>
        <xdr:cNvPr id="3001454" name="Picture 111" descr="E-03 Manifold in Center">
          <a:extLst>
            <a:ext uri="{FF2B5EF4-FFF2-40B4-BE49-F238E27FC236}">
              <a16:creationId xmlns:a16="http://schemas.microsoft.com/office/drawing/2014/main" id="{00000000-0008-0000-0A00-00006ECC2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62300" y="14982825"/>
          <a:ext cx="3133725"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71</xdr:row>
      <xdr:rowOff>133350</xdr:rowOff>
    </xdr:from>
    <xdr:to>
      <xdr:col>8</xdr:col>
      <xdr:colOff>228600</xdr:colOff>
      <xdr:row>74</xdr:row>
      <xdr:rowOff>323850</xdr:rowOff>
    </xdr:to>
    <xdr:pic>
      <xdr:nvPicPr>
        <xdr:cNvPr id="3001455" name="Picture 112" descr="E-02 manifold at End">
          <a:extLst>
            <a:ext uri="{FF2B5EF4-FFF2-40B4-BE49-F238E27FC236}">
              <a16:creationId xmlns:a16="http://schemas.microsoft.com/office/drawing/2014/main" id="{00000000-0008-0000-0A00-00006FCC2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14620875"/>
          <a:ext cx="29527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142874</xdr:colOff>
      <xdr:row>0</xdr:row>
      <xdr:rowOff>80628</xdr:rowOff>
    </xdr:from>
    <xdr:to>
      <xdr:col>3</xdr:col>
      <xdr:colOff>47624</xdr:colOff>
      <xdr:row>0</xdr:row>
      <xdr:rowOff>781050</xdr:rowOff>
    </xdr:to>
    <xdr:pic>
      <xdr:nvPicPr>
        <xdr:cNvPr id="3001456" name="Picture 120" descr="mpca-center-4c">
          <a:extLst>
            <a:ext uri="{FF2B5EF4-FFF2-40B4-BE49-F238E27FC236}">
              <a16:creationId xmlns:a16="http://schemas.microsoft.com/office/drawing/2014/main" id="{00000000-0008-0000-0A00-000070CC2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874" y="80628"/>
          <a:ext cx="962025" cy="700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314325</xdr:colOff>
      <xdr:row>31</xdr:row>
      <xdr:rowOff>66675</xdr:rowOff>
    </xdr:to>
    <xdr:pic>
      <xdr:nvPicPr>
        <xdr:cNvPr id="3001457" name="Picture 391">
          <a:extLst>
            <a:ext uri="{FF2B5EF4-FFF2-40B4-BE49-F238E27FC236}">
              <a16:creationId xmlns:a16="http://schemas.microsoft.com/office/drawing/2014/main" id="{00000000-0008-0000-0A00-000071CC2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625" y="5295900"/>
          <a:ext cx="6257925"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295275</xdr:colOff>
      <xdr:row>0</xdr:row>
      <xdr:rowOff>381000</xdr:rowOff>
    </xdr:from>
    <xdr:to>
      <xdr:col>15</xdr:col>
      <xdr:colOff>19050</xdr:colOff>
      <xdr:row>0</xdr:row>
      <xdr:rowOff>723900</xdr:rowOff>
    </xdr:to>
    <xdr:pic>
      <xdr:nvPicPr>
        <xdr:cNvPr id="3001458" name="Picture 9" descr="Cwdmk.tif">
          <a:extLst>
            <a:ext uri="{FF2B5EF4-FFF2-40B4-BE49-F238E27FC236}">
              <a16:creationId xmlns:a16="http://schemas.microsoft.com/office/drawing/2014/main" id="{00000000-0008-0000-0A00-000072CC2D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71950" y="381000"/>
          <a:ext cx="11334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0</xdr:row>
      <xdr:rowOff>190500</xdr:rowOff>
    </xdr:from>
    <xdr:to>
      <xdr:col>17</xdr:col>
      <xdr:colOff>276225</xdr:colOff>
      <xdr:row>0</xdr:row>
      <xdr:rowOff>742950</xdr:rowOff>
    </xdr:to>
    <xdr:pic>
      <xdr:nvPicPr>
        <xdr:cNvPr id="3001459" name="Picture 10" descr="ostp logo PANTONE 328.tif">
          <a:extLst>
            <a:ext uri="{FF2B5EF4-FFF2-40B4-BE49-F238E27FC236}">
              <a16:creationId xmlns:a16="http://schemas.microsoft.com/office/drawing/2014/main" id="{00000000-0008-0000-0A00-000073CC2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362575" y="190500"/>
          <a:ext cx="904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123825</xdr:colOff>
      <xdr:row>41</xdr:row>
      <xdr:rowOff>57150</xdr:rowOff>
    </xdr:from>
    <xdr:to>
      <xdr:col>21</xdr:col>
      <xdr:colOff>247650</xdr:colOff>
      <xdr:row>62</xdr:row>
      <xdr:rowOff>66675</xdr:rowOff>
    </xdr:to>
    <xdr:pic>
      <xdr:nvPicPr>
        <xdr:cNvPr id="3001460" name="Picture 10" descr="Perforation Discharge.JPG">
          <a:extLst>
            <a:ext uri="{FF2B5EF4-FFF2-40B4-BE49-F238E27FC236}">
              <a16:creationId xmlns:a16="http://schemas.microsoft.com/office/drawing/2014/main" id="{00000000-0008-0000-0A00-000074CC2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67475" y="9515475"/>
          <a:ext cx="21717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238125</xdr:colOff>
      <xdr:row>9</xdr:row>
      <xdr:rowOff>28575</xdr:rowOff>
    </xdr:from>
    <xdr:to>
      <xdr:col>17</xdr:col>
      <xdr:colOff>304800</xdr:colOff>
      <xdr:row>13</xdr:row>
      <xdr:rowOff>133350</xdr:rowOff>
    </xdr:to>
    <xdr:pic>
      <xdr:nvPicPr>
        <xdr:cNvPr id="3001461" name="Picture 10" descr="11.20_Lateral_end_specs.tif">
          <a:extLst>
            <a:ext uri="{FF2B5EF4-FFF2-40B4-BE49-F238E27FC236}">
              <a16:creationId xmlns:a16="http://schemas.microsoft.com/office/drawing/2014/main" id="{00000000-0008-0000-0A00-000075CC2D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5063"/>
        <a:stretch>
          <a:fillRect/>
        </a:stretch>
      </xdr:blipFill>
      <xdr:spPr bwMode="auto">
        <a:xfrm>
          <a:off x="4114800" y="2314575"/>
          <a:ext cx="2181225" cy="78105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200025</xdr:colOff>
          <xdr:row>37</xdr:row>
          <xdr:rowOff>19050</xdr:rowOff>
        </xdr:from>
        <xdr:to>
          <xdr:col>11</xdr:col>
          <xdr:colOff>276225</xdr:colOff>
          <xdr:row>38</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A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19050</xdr:rowOff>
        </xdr:from>
        <xdr:to>
          <xdr:col>13</xdr:col>
          <xdr:colOff>76200</xdr:colOff>
          <xdr:row>38</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A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xdr:twoCellAnchor>
    <xdr:from>
      <xdr:col>9</xdr:col>
      <xdr:colOff>166688</xdr:colOff>
      <xdr:row>25</xdr:row>
      <xdr:rowOff>257175</xdr:rowOff>
    </xdr:from>
    <xdr:to>
      <xdr:col>17</xdr:col>
      <xdr:colOff>238125</xdr:colOff>
      <xdr:row>28</xdr:row>
      <xdr:rowOff>166688</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595688" y="5334000"/>
          <a:ext cx="3119437" cy="1223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690563</xdr:colOff>
      <xdr:row>43</xdr:row>
      <xdr:rowOff>166688</xdr:rowOff>
    </xdr:from>
    <xdr:to>
      <xdr:col>20</xdr:col>
      <xdr:colOff>1147763</xdr:colOff>
      <xdr:row>54</xdr:row>
      <xdr:rowOff>71438</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8358188" y="9901238"/>
          <a:ext cx="45720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247650</xdr:colOff>
      <xdr:row>182</xdr:row>
      <xdr:rowOff>28575</xdr:rowOff>
    </xdr:from>
    <xdr:to>
      <xdr:col>15</xdr:col>
      <xdr:colOff>247650</xdr:colOff>
      <xdr:row>186</xdr:row>
      <xdr:rowOff>76200</xdr:rowOff>
    </xdr:to>
    <xdr:sp macro="" textlink="">
      <xdr:nvSpPr>
        <xdr:cNvPr id="3002468" name="Line 29">
          <a:extLst>
            <a:ext uri="{FF2B5EF4-FFF2-40B4-BE49-F238E27FC236}">
              <a16:creationId xmlns:a16="http://schemas.microsoft.com/office/drawing/2014/main" id="{00000000-0008-0000-0B00-000064D02D00}"/>
            </a:ext>
          </a:extLst>
        </xdr:cNvPr>
        <xdr:cNvSpPr>
          <a:spLocks noChangeShapeType="1"/>
        </xdr:cNvSpPr>
      </xdr:nvSpPr>
      <xdr:spPr bwMode="auto">
        <a:xfrm>
          <a:off x="6391275" y="32575500"/>
          <a:ext cx="0" cy="1038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247650</xdr:colOff>
      <xdr:row>7</xdr:row>
      <xdr:rowOff>0</xdr:rowOff>
    </xdr:from>
    <xdr:to>
      <xdr:col>15</xdr:col>
      <xdr:colOff>266700</xdr:colOff>
      <xdr:row>15</xdr:row>
      <xdr:rowOff>0</xdr:rowOff>
    </xdr:to>
    <xdr:sp macro="" textlink="">
      <xdr:nvSpPr>
        <xdr:cNvPr id="3002469" name="Line 31">
          <a:extLst>
            <a:ext uri="{FF2B5EF4-FFF2-40B4-BE49-F238E27FC236}">
              <a16:creationId xmlns:a16="http://schemas.microsoft.com/office/drawing/2014/main" id="{00000000-0008-0000-0B00-000065D02D00}"/>
            </a:ext>
          </a:extLst>
        </xdr:cNvPr>
        <xdr:cNvSpPr>
          <a:spLocks noChangeShapeType="1"/>
        </xdr:cNvSpPr>
      </xdr:nvSpPr>
      <xdr:spPr bwMode="auto">
        <a:xfrm flipH="1">
          <a:off x="6391275" y="1704975"/>
          <a:ext cx="19050" cy="129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16</xdr:col>
      <xdr:colOff>114300</xdr:colOff>
      <xdr:row>175</xdr:row>
      <xdr:rowOff>0</xdr:rowOff>
    </xdr:from>
    <xdr:to>
      <xdr:col>19</xdr:col>
      <xdr:colOff>285750</xdr:colOff>
      <xdr:row>185</xdr:row>
      <xdr:rowOff>47625</xdr:rowOff>
    </xdr:to>
    <xdr:pic>
      <xdr:nvPicPr>
        <xdr:cNvPr id="3002470" name="Picture 43" descr="Volume of Pipe II">
          <a:extLst>
            <a:ext uri="{FF2B5EF4-FFF2-40B4-BE49-F238E27FC236}">
              <a16:creationId xmlns:a16="http://schemas.microsoft.com/office/drawing/2014/main" id="{00000000-0008-0000-0B00-000066D0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31099125"/>
          <a:ext cx="1400175" cy="2238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266700</xdr:colOff>
      <xdr:row>54</xdr:row>
      <xdr:rowOff>19050</xdr:rowOff>
    </xdr:from>
    <xdr:to>
      <xdr:col>18</xdr:col>
      <xdr:colOff>266700</xdr:colOff>
      <xdr:row>62</xdr:row>
      <xdr:rowOff>19050</xdr:rowOff>
    </xdr:to>
    <xdr:sp macro="" textlink="">
      <xdr:nvSpPr>
        <xdr:cNvPr id="3002471" name="Line 59">
          <a:extLst>
            <a:ext uri="{FF2B5EF4-FFF2-40B4-BE49-F238E27FC236}">
              <a16:creationId xmlns:a16="http://schemas.microsoft.com/office/drawing/2014/main" id="{00000000-0008-0000-0B00-000067D02D00}"/>
            </a:ext>
          </a:extLst>
        </xdr:cNvPr>
        <xdr:cNvSpPr>
          <a:spLocks noChangeShapeType="1"/>
        </xdr:cNvSpPr>
      </xdr:nvSpPr>
      <xdr:spPr bwMode="auto">
        <a:xfrm flipH="1">
          <a:off x="7639050" y="10096500"/>
          <a:ext cx="0" cy="129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19050</xdr:colOff>
      <xdr:row>0</xdr:row>
      <xdr:rowOff>38100</xdr:rowOff>
    </xdr:from>
    <xdr:to>
      <xdr:col>3</xdr:col>
      <xdr:colOff>0</xdr:colOff>
      <xdr:row>0</xdr:row>
      <xdr:rowOff>781050</xdr:rowOff>
    </xdr:to>
    <xdr:pic>
      <xdr:nvPicPr>
        <xdr:cNvPr id="3002472" name="Picture 62" descr="mpca-center-4c">
          <a:extLst>
            <a:ext uri="{FF2B5EF4-FFF2-40B4-BE49-F238E27FC236}">
              <a16:creationId xmlns:a16="http://schemas.microsoft.com/office/drawing/2014/main" id="{00000000-0008-0000-0B00-000068D0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8100"/>
          <a:ext cx="12096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91</xdr:row>
      <xdr:rowOff>9525</xdr:rowOff>
    </xdr:from>
    <xdr:to>
      <xdr:col>20</xdr:col>
      <xdr:colOff>0</xdr:colOff>
      <xdr:row>103</xdr:row>
      <xdr:rowOff>0</xdr:rowOff>
    </xdr:to>
    <xdr:pic>
      <xdr:nvPicPr>
        <xdr:cNvPr id="3002473" name="Picture 336">
          <a:extLst>
            <a:ext uri="{FF2B5EF4-FFF2-40B4-BE49-F238E27FC236}">
              <a16:creationId xmlns:a16="http://schemas.microsoft.com/office/drawing/2014/main" id="{00000000-0008-0000-0B00-000069D0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16516350"/>
          <a:ext cx="8162925"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323850</xdr:colOff>
      <xdr:row>0</xdr:row>
      <xdr:rowOff>323850</xdr:rowOff>
    </xdr:from>
    <xdr:to>
      <xdr:col>17</xdr:col>
      <xdr:colOff>238125</xdr:colOff>
      <xdr:row>0</xdr:row>
      <xdr:rowOff>666750</xdr:rowOff>
    </xdr:to>
    <xdr:pic>
      <xdr:nvPicPr>
        <xdr:cNvPr id="3002474" name="Picture 9" descr="Cwdmk.tif">
          <a:extLst>
            <a:ext uri="{FF2B5EF4-FFF2-40B4-BE49-F238E27FC236}">
              <a16:creationId xmlns:a16="http://schemas.microsoft.com/office/drawing/2014/main" id="{00000000-0008-0000-0B00-00006AD0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57900" y="323850"/>
          <a:ext cx="11430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285750</xdr:colOff>
      <xdr:row>0</xdr:row>
      <xdr:rowOff>219075</xdr:rowOff>
    </xdr:from>
    <xdr:to>
      <xdr:col>19</xdr:col>
      <xdr:colOff>400050</xdr:colOff>
      <xdr:row>0</xdr:row>
      <xdr:rowOff>781050</xdr:rowOff>
    </xdr:to>
    <xdr:pic>
      <xdr:nvPicPr>
        <xdr:cNvPr id="3002475" name="Picture 10" descr="ostp logo PANTONE 328.tif">
          <a:extLst>
            <a:ext uri="{FF2B5EF4-FFF2-40B4-BE49-F238E27FC236}">
              <a16:creationId xmlns:a16="http://schemas.microsoft.com/office/drawing/2014/main" id="{00000000-0008-0000-0B00-00006BD0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48525" y="219075"/>
          <a:ext cx="933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9525</xdr:colOff>
      <xdr:row>64</xdr:row>
      <xdr:rowOff>57150</xdr:rowOff>
    </xdr:from>
    <xdr:to>
      <xdr:col>19</xdr:col>
      <xdr:colOff>342900</xdr:colOff>
      <xdr:row>82</xdr:row>
      <xdr:rowOff>76200</xdr:rowOff>
    </xdr:to>
    <xdr:pic>
      <xdr:nvPicPr>
        <xdr:cNvPr id="3002476" name="Picture 11" descr="Perforation Discharge.JPG">
          <a:extLst>
            <a:ext uri="{FF2B5EF4-FFF2-40B4-BE49-F238E27FC236}">
              <a16:creationId xmlns:a16="http://schemas.microsoft.com/office/drawing/2014/main" id="{00000000-0008-0000-0B00-00006CD02D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334000" y="11801475"/>
          <a:ext cx="2790825" cy="314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28575</xdr:colOff>
          <xdr:row>31</xdr:row>
          <xdr:rowOff>171450</xdr:rowOff>
        </xdr:from>
        <xdr:to>
          <xdr:col>13</xdr:col>
          <xdr:colOff>85725</xdr:colOff>
          <xdr:row>33</xdr:row>
          <xdr:rowOff>238125</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B00-00000A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77</xdr:row>
          <xdr:rowOff>47625</xdr:rowOff>
        </xdr:from>
        <xdr:to>
          <xdr:col>9</xdr:col>
          <xdr:colOff>400050</xdr:colOff>
          <xdr:row>77</xdr:row>
          <xdr:rowOff>209550</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B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77</xdr:row>
          <xdr:rowOff>47625</xdr:rowOff>
        </xdr:from>
        <xdr:to>
          <xdr:col>11</xdr:col>
          <xdr:colOff>171450</xdr:colOff>
          <xdr:row>77</xdr:row>
          <xdr:rowOff>209550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B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113</xdr:row>
          <xdr:rowOff>47625</xdr:rowOff>
        </xdr:from>
        <xdr:to>
          <xdr:col>13</xdr:col>
          <xdr:colOff>47625</xdr:colOff>
          <xdr:row>114</xdr:row>
          <xdr:rowOff>142875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B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113</xdr:row>
          <xdr:rowOff>47625</xdr:rowOff>
        </xdr:from>
        <xdr:to>
          <xdr:col>14</xdr:col>
          <xdr:colOff>219075</xdr:colOff>
          <xdr:row>114</xdr:row>
          <xdr:rowOff>142875</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B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149</xdr:row>
          <xdr:rowOff>66675</xdr:rowOff>
        </xdr:from>
        <xdr:to>
          <xdr:col>13</xdr:col>
          <xdr:colOff>28575</xdr:colOff>
          <xdr:row>150</xdr:row>
          <xdr:rowOff>171450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B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149</xdr:row>
          <xdr:rowOff>66675</xdr:rowOff>
        </xdr:from>
        <xdr:to>
          <xdr:col>14</xdr:col>
          <xdr:colOff>200025</xdr:colOff>
          <xdr:row>150</xdr:row>
          <xdr:rowOff>171450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B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161</xdr:row>
          <xdr:rowOff>57150</xdr:rowOff>
        </xdr:from>
        <xdr:to>
          <xdr:col>13</xdr:col>
          <xdr:colOff>38100</xdr:colOff>
          <xdr:row>162</xdr:row>
          <xdr:rowOff>152400</xdr:rowOff>
        </xdr:to>
        <xdr:sp macro="" textlink="">
          <xdr:nvSpPr>
            <xdr:cNvPr id="4428" name="Check Box 332" hidden="1">
              <a:extLst>
                <a:ext uri="{63B3BB69-23CF-44E3-9099-C40C66FF867C}">
                  <a14:compatExt spid="_x0000_s4428"/>
                </a:ext>
                <a:ext uri="{FF2B5EF4-FFF2-40B4-BE49-F238E27FC236}">
                  <a16:creationId xmlns:a16="http://schemas.microsoft.com/office/drawing/2014/main" id="{00000000-0008-0000-0B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161</xdr:row>
          <xdr:rowOff>57150</xdr:rowOff>
        </xdr:from>
        <xdr:to>
          <xdr:col>14</xdr:col>
          <xdr:colOff>209550</xdr:colOff>
          <xdr:row>162</xdr:row>
          <xdr:rowOff>152400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B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125</xdr:row>
          <xdr:rowOff>66675</xdr:rowOff>
        </xdr:from>
        <xdr:to>
          <xdr:col>13</xdr:col>
          <xdr:colOff>9525</xdr:colOff>
          <xdr:row>126</xdr:row>
          <xdr:rowOff>171450</xdr:rowOff>
        </xdr:to>
        <xdr:sp macro="" textlink="">
          <xdr:nvSpPr>
            <xdr:cNvPr id="4430" name="Check Box 334" hidden="1">
              <a:extLst>
                <a:ext uri="{63B3BB69-23CF-44E3-9099-C40C66FF867C}">
                  <a14:compatExt spid="_x0000_s4430"/>
                </a:ext>
                <a:ext uri="{FF2B5EF4-FFF2-40B4-BE49-F238E27FC236}">
                  <a16:creationId xmlns:a16="http://schemas.microsoft.com/office/drawing/2014/main" id="{00000000-0008-0000-0B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125</xdr:row>
          <xdr:rowOff>66675</xdr:rowOff>
        </xdr:from>
        <xdr:to>
          <xdr:col>14</xdr:col>
          <xdr:colOff>180975</xdr:colOff>
          <xdr:row>126</xdr:row>
          <xdr:rowOff>171450</xdr:rowOff>
        </xdr:to>
        <xdr:sp macro="" textlink="">
          <xdr:nvSpPr>
            <xdr:cNvPr id="4431" name="Check Box 335" hidden="1">
              <a:extLst>
                <a:ext uri="{63B3BB69-23CF-44E3-9099-C40C66FF867C}">
                  <a14:compatExt spid="_x0000_s4431"/>
                </a:ext>
                <a:ext uri="{FF2B5EF4-FFF2-40B4-BE49-F238E27FC236}">
                  <a16:creationId xmlns:a16="http://schemas.microsoft.com/office/drawing/2014/main" id="{00000000-0008-0000-0B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137</xdr:row>
          <xdr:rowOff>66675</xdr:rowOff>
        </xdr:from>
        <xdr:to>
          <xdr:col>13</xdr:col>
          <xdr:colOff>9525</xdr:colOff>
          <xdr:row>138</xdr:row>
          <xdr:rowOff>161925</xdr:rowOff>
        </xdr:to>
        <xdr:sp macro="" textlink="">
          <xdr:nvSpPr>
            <xdr:cNvPr id="734409" name="Check Box 9417" hidden="1">
              <a:extLst>
                <a:ext uri="{63B3BB69-23CF-44E3-9099-C40C66FF867C}">
                  <a14:compatExt spid="_x0000_s734409"/>
                </a:ext>
                <a:ext uri="{FF2B5EF4-FFF2-40B4-BE49-F238E27FC236}">
                  <a16:creationId xmlns:a16="http://schemas.microsoft.com/office/drawing/2014/main" id="{00000000-0008-0000-0B00-0000C93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137</xdr:row>
          <xdr:rowOff>66675</xdr:rowOff>
        </xdr:from>
        <xdr:to>
          <xdr:col>14</xdr:col>
          <xdr:colOff>180975</xdr:colOff>
          <xdr:row>138</xdr:row>
          <xdr:rowOff>161925</xdr:rowOff>
        </xdr:to>
        <xdr:sp macro="" textlink="">
          <xdr:nvSpPr>
            <xdr:cNvPr id="734410" name="Check Box 9418" hidden="1">
              <a:extLst>
                <a:ext uri="{63B3BB69-23CF-44E3-9099-C40C66FF867C}">
                  <a14:compatExt spid="_x0000_s734410"/>
                </a:ext>
                <a:ext uri="{FF2B5EF4-FFF2-40B4-BE49-F238E27FC236}">
                  <a16:creationId xmlns:a16="http://schemas.microsoft.com/office/drawing/2014/main" id="{00000000-0008-0000-0B00-0000CA34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Center</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0C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0C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9525</xdr:rowOff>
    </xdr:from>
    <xdr:to>
      <xdr:col>3</xdr:col>
      <xdr:colOff>180975</xdr:colOff>
      <xdr:row>0</xdr:row>
      <xdr:rowOff>800100</xdr:rowOff>
    </xdr:to>
    <xdr:pic>
      <xdr:nvPicPr>
        <xdr:cNvPr id="2965248" name="Picture 83" descr="mpca-center-4c">
          <a:extLst>
            <a:ext uri="{FF2B5EF4-FFF2-40B4-BE49-F238E27FC236}">
              <a16:creationId xmlns:a16="http://schemas.microsoft.com/office/drawing/2014/main" id="{00000000-0008-0000-0C00-000000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9525"/>
          <a:ext cx="1295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0</xdr:row>
      <xdr:rowOff>400050</xdr:rowOff>
    </xdr:from>
    <xdr:to>
      <xdr:col>16</xdr:col>
      <xdr:colOff>152400</xdr:colOff>
      <xdr:row>0</xdr:row>
      <xdr:rowOff>742950</xdr:rowOff>
    </xdr:to>
    <xdr:pic>
      <xdr:nvPicPr>
        <xdr:cNvPr id="2965249" name="Picture 7" descr="Cwdmk.tif">
          <a:extLst>
            <a:ext uri="{FF2B5EF4-FFF2-40B4-BE49-F238E27FC236}">
              <a16:creationId xmlns:a16="http://schemas.microsoft.com/office/drawing/2014/main" id="{00000000-0008-0000-0C00-0000013F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29300" y="400050"/>
          <a:ext cx="12858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276225</xdr:colOff>
      <xdr:row>0</xdr:row>
      <xdr:rowOff>180975</xdr:rowOff>
    </xdr:from>
    <xdr:to>
      <xdr:col>18</xdr:col>
      <xdr:colOff>390525</xdr:colOff>
      <xdr:row>0</xdr:row>
      <xdr:rowOff>742950</xdr:rowOff>
    </xdr:to>
    <xdr:pic>
      <xdr:nvPicPr>
        <xdr:cNvPr id="2965250" name="Picture 8" descr="ostp logo PANTONE 328.tif">
          <a:extLst>
            <a:ext uri="{FF2B5EF4-FFF2-40B4-BE49-F238E27FC236}">
              <a16:creationId xmlns:a16="http://schemas.microsoft.com/office/drawing/2014/main" id="{00000000-0008-0000-0C00-0000023F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39000" y="180975"/>
          <a:ext cx="1009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428625</xdr:colOff>
      <xdr:row>19</xdr:row>
      <xdr:rowOff>57150</xdr:rowOff>
    </xdr:from>
    <xdr:to>
      <xdr:col>18</xdr:col>
      <xdr:colOff>438150</xdr:colOff>
      <xdr:row>39</xdr:row>
      <xdr:rowOff>66675</xdr:rowOff>
    </xdr:to>
    <xdr:pic>
      <xdr:nvPicPr>
        <xdr:cNvPr id="2965251" name="Picture 2253">
          <a:extLst>
            <a:ext uri="{FF2B5EF4-FFF2-40B4-BE49-F238E27FC236}">
              <a16:creationId xmlns:a16="http://schemas.microsoft.com/office/drawing/2014/main" id="{00000000-0008-0000-0C00-0000033F2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0D00-000048B62D00}"/>
            </a:ext>
          </a:extLst>
        </xdr:cNvPr>
        <xdr:cNvGrpSpPr>
          <a:grpSpLocks/>
        </xdr:cNvGrpSpPr>
      </xdr:nvGrpSpPr>
      <xdr:grpSpPr bwMode="auto">
        <a:xfrm>
          <a:off x="15192375" y="619125"/>
          <a:ext cx="1885950" cy="1981200"/>
          <a:chOff x="557" y="117"/>
          <a:chExt cx="209" cy="169"/>
        </a:xfrm>
      </xdr:grpSpPr>
      <xdr:grpSp>
        <xdr:nvGrpSpPr>
          <xdr:cNvPr id="2995791" name="Group 1362">
            <a:extLst>
              <a:ext uri="{FF2B5EF4-FFF2-40B4-BE49-F238E27FC236}">
                <a16:creationId xmlns:a16="http://schemas.microsoft.com/office/drawing/2014/main" id="{00000000-0008-0000-0D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0D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0D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0D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0D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D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0D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0D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0D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0D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228600</xdr:colOff>
      <xdr:row>27</xdr:row>
      <xdr:rowOff>142875</xdr:rowOff>
    </xdr:from>
    <xdr:to>
      <xdr:col>18</xdr:col>
      <xdr:colOff>66675</xdr:colOff>
      <xdr:row>39</xdr:row>
      <xdr:rowOff>142875</xdr:rowOff>
    </xdr:to>
    <xdr:pic>
      <xdr:nvPicPr>
        <xdr:cNvPr id="2995786" name="Picture 129" descr="Volume of Pipe II">
          <a:extLst>
            <a:ext uri="{FF2B5EF4-FFF2-40B4-BE49-F238E27FC236}">
              <a16:creationId xmlns:a16="http://schemas.microsoft.com/office/drawing/2014/main" id="{00000000-0008-0000-0D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1325" y="6276975"/>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0</xdr:row>
      <xdr:rowOff>76200</xdr:rowOff>
    </xdr:from>
    <xdr:to>
      <xdr:col>3</xdr:col>
      <xdr:colOff>257175</xdr:colOff>
      <xdr:row>0</xdr:row>
      <xdr:rowOff>752475</xdr:rowOff>
    </xdr:to>
    <xdr:pic>
      <xdr:nvPicPr>
        <xdr:cNvPr id="2995787" name="Picture 144" descr="mpca-center-4c">
          <a:extLst>
            <a:ext uri="{FF2B5EF4-FFF2-40B4-BE49-F238E27FC236}">
              <a16:creationId xmlns:a16="http://schemas.microsoft.com/office/drawing/2014/main" id="{00000000-0008-0000-0D00-00004BB6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76200"/>
          <a:ext cx="1171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0</xdr:row>
      <xdr:rowOff>333375</xdr:rowOff>
    </xdr:from>
    <xdr:to>
      <xdr:col>16</xdr:col>
      <xdr:colOff>190500</xdr:colOff>
      <xdr:row>0</xdr:row>
      <xdr:rowOff>695325</xdr:rowOff>
    </xdr:to>
    <xdr:pic>
      <xdr:nvPicPr>
        <xdr:cNvPr id="2995788" name="Picture 17" descr="Cwdmk.tif">
          <a:extLst>
            <a:ext uri="{FF2B5EF4-FFF2-40B4-BE49-F238E27FC236}">
              <a16:creationId xmlns:a16="http://schemas.microsoft.com/office/drawing/2014/main" id="{00000000-0008-0000-0D00-00004CB6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91300" y="333375"/>
          <a:ext cx="1133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0</xdr:row>
      <xdr:rowOff>123825</xdr:rowOff>
    </xdr:from>
    <xdr:to>
      <xdr:col>19</xdr:col>
      <xdr:colOff>57150</xdr:colOff>
      <xdr:row>0</xdr:row>
      <xdr:rowOff>676275</xdr:rowOff>
    </xdr:to>
    <xdr:pic>
      <xdr:nvPicPr>
        <xdr:cNvPr id="2995789" name="Picture 18" descr="ostp logo PANTONE 328.tif">
          <a:extLst>
            <a:ext uri="{FF2B5EF4-FFF2-40B4-BE49-F238E27FC236}">
              <a16:creationId xmlns:a16="http://schemas.microsoft.com/office/drawing/2014/main" id="{00000000-0008-0000-0D00-00004DB6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3875" y="123825"/>
          <a:ext cx="904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46</xdr:row>
      <xdr:rowOff>171450</xdr:rowOff>
    </xdr:from>
    <xdr:to>
      <xdr:col>19</xdr:col>
      <xdr:colOff>342900</xdr:colOff>
      <xdr:row>54</xdr:row>
      <xdr:rowOff>28575</xdr:rowOff>
    </xdr:to>
    <xdr:pic>
      <xdr:nvPicPr>
        <xdr:cNvPr id="2995790" name="Picture 142">
          <a:extLst>
            <a:ext uri="{FF2B5EF4-FFF2-40B4-BE49-F238E27FC236}">
              <a16:creationId xmlns:a16="http://schemas.microsoft.com/office/drawing/2014/main" id="{00000000-0008-0000-0D00-00004EB62D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15250" y="10915650"/>
          <a:ext cx="16192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11</xdr:row>
      <xdr:rowOff>0</xdr:rowOff>
    </xdr:to>
    <xdr:grpSp>
      <xdr:nvGrpSpPr>
        <xdr:cNvPr id="2997702" name="Group 1363">
          <a:extLst>
            <a:ext uri="{FF2B5EF4-FFF2-40B4-BE49-F238E27FC236}">
              <a16:creationId xmlns:a16="http://schemas.microsoft.com/office/drawing/2014/main" id="{00000000-0008-0000-0E00-0000C6BD2D00}"/>
            </a:ext>
          </a:extLst>
        </xdr:cNvPr>
        <xdr:cNvGrpSpPr>
          <a:grpSpLocks/>
        </xdr:cNvGrpSpPr>
      </xdr:nvGrpSpPr>
      <xdr:grpSpPr bwMode="auto">
        <a:xfrm>
          <a:off x="15192375" y="619125"/>
          <a:ext cx="1885950" cy="2162175"/>
          <a:chOff x="557" y="117"/>
          <a:chExt cx="209" cy="169"/>
        </a:xfrm>
      </xdr:grpSpPr>
      <xdr:grpSp>
        <xdr:nvGrpSpPr>
          <xdr:cNvPr id="2997709" name="Group 1362">
            <a:extLst>
              <a:ext uri="{FF2B5EF4-FFF2-40B4-BE49-F238E27FC236}">
                <a16:creationId xmlns:a16="http://schemas.microsoft.com/office/drawing/2014/main" id="{00000000-0008-0000-0E00-0000CDBD2D00}"/>
              </a:ext>
            </a:extLst>
          </xdr:cNvPr>
          <xdr:cNvGrpSpPr>
            <a:grpSpLocks/>
          </xdr:cNvGrpSpPr>
        </xdr:nvGrpSpPr>
        <xdr:grpSpPr bwMode="auto">
          <a:xfrm>
            <a:off x="557" y="117"/>
            <a:ext cx="209" cy="169"/>
            <a:chOff x="557" y="117"/>
            <a:chExt cx="209" cy="169"/>
          </a:xfrm>
        </xdr:grpSpPr>
        <xdr:sp macro="" textlink="">
          <xdr:nvSpPr>
            <xdr:cNvPr id="2997711" name="Oval 3">
              <a:extLst>
                <a:ext uri="{FF2B5EF4-FFF2-40B4-BE49-F238E27FC236}">
                  <a16:creationId xmlns:a16="http://schemas.microsoft.com/office/drawing/2014/main" id="{00000000-0008-0000-0E00-0000CFBD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7712" name="Rectangle 4">
              <a:extLst>
                <a:ext uri="{FF2B5EF4-FFF2-40B4-BE49-F238E27FC236}">
                  <a16:creationId xmlns:a16="http://schemas.microsoft.com/office/drawing/2014/main" id="{00000000-0008-0000-0E00-0000D0BD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7713" name="Line 5">
              <a:extLst>
                <a:ext uri="{FF2B5EF4-FFF2-40B4-BE49-F238E27FC236}">
                  <a16:creationId xmlns:a16="http://schemas.microsoft.com/office/drawing/2014/main" id="{00000000-0008-0000-0E00-0000D1BD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7714" name="Line 6">
              <a:extLst>
                <a:ext uri="{FF2B5EF4-FFF2-40B4-BE49-F238E27FC236}">
                  <a16:creationId xmlns:a16="http://schemas.microsoft.com/office/drawing/2014/main" id="{00000000-0008-0000-0E00-0000D2BD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 name="Text Box 7">
              <a:extLst>
                <a:ext uri="{FF2B5EF4-FFF2-40B4-BE49-F238E27FC236}">
                  <a16:creationId xmlns:a16="http://schemas.microsoft.com/office/drawing/2014/main" id="{00000000-0008-0000-0E00-00001D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0" name="Text Box 8">
              <a:extLst>
                <a:ext uri="{FF2B5EF4-FFF2-40B4-BE49-F238E27FC236}">
                  <a16:creationId xmlns:a16="http://schemas.microsoft.com/office/drawing/2014/main" id="{00000000-0008-0000-0E00-00001E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1" name="Text Box 9">
              <a:extLst>
                <a:ext uri="{FF2B5EF4-FFF2-40B4-BE49-F238E27FC236}">
                  <a16:creationId xmlns:a16="http://schemas.microsoft.com/office/drawing/2014/main" id="{00000000-0008-0000-0E00-00001F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7710" name="Line 10">
            <a:extLst>
              <a:ext uri="{FF2B5EF4-FFF2-40B4-BE49-F238E27FC236}">
                <a16:creationId xmlns:a16="http://schemas.microsoft.com/office/drawing/2014/main" id="{00000000-0008-0000-0E00-0000CEBD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161925</xdr:colOff>
      <xdr:row>35</xdr:row>
      <xdr:rowOff>152400</xdr:rowOff>
    </xdr:from>
    <xdr:to>
      <xdr:col>28</xdr:col>
      <xdr:colOff>76200</xdr:colOff>
      <xdr:row>42</xdr:row>
      <xdr:rowOff>9525</xdr:rowOff>
    </xdr:to>
    <xdr:pic>
      <xdr:nvPicPr>
        <xdr:cNvPr id="2997703" name="Picture 128" descr="Tank Capacity">
          <a:extLst>
            <a:ext uri="{FF2B5EF4-FFF2-40B4-BE49-F238E27FC236}">
              <a16:creationId xmlns:a16="http://schemas.microsoft.com/office/drawing/2014/main" id="{00000000-0008-0000-0E00-0000C7BD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813435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228600</xdr:colOff>
      <xdr:row>27</xdr:row>
      <xdr:rowOff>142875</xdr:rowOff>
    </xdr:from>
    <xdr:to>
      <xdr:col>18</xdr:col>
      <xdr:colOff>66675</xdr:colOff>
      <xdr:row>40</xdr:row>
      <xdr:rowOff>0</xdr:rowOff>
    </xdr:to>
    <xdr:pic>
      <xdr:nvPicPr>
        <xdr:cNvPr id="2997704" name="Picture 129" descr="Volume of Pipe II">
          <a:extLst>
            <a:ext uri="{FF2B5EF4-FFF2-40B4-BE49-F238E27FC236}">
              <a16:creationId xmlns:a16="http://schemas.microsoft.com/office/drawing/2014/main" id="{00000000-0008-0000-0E00-0000C8BD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1325" y="6276975"/>
          <a:ext cx="1781175" cy="30765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0</xdr:row>
      <xdr:rowOff>76200</xdr:rowOff>
    </xdr:from>
    <xdr:to>
      <xdr:col>3</xdr:col>
      <xdr:colOff>257175</xdr:colOff>
      <xdr:row>0</xdr:row>
      <xdr:rowOff>752475</xdr:rowOff>
    </xdr:to>
    <xdr:pic>
      <xdr:nvPicPr>
        <xdr:cNvPr id="2997705" name="Picture 144" descr="mpca-center-4c">
          <a:extLst>
            <a:ext uri="{FF2B5EF4-FFF2-40B4-BE49-F238E27FC236}">
              <a16:creationId xmlns:a16="http://schemas.microsoft.com/office/drawing/2014/main" id="{00000000-0008-0000-0E00-0000C9BD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76200"/>
          <a:ext cx="1171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0</xdr:row>
      <xdr:rowOff>333375</xdr:rowOff>
    </xdr:from>
    <xdr:to>
      <xdr:col>16</xdr:col>
      <xdr:colOff>190500</xdr:colOff>
      <xdr:row>0</xdr:row>
      <xdr:rowOff>695325</xdr:rowOff>
    </xdr:to>
    <xdr:pic>
      <xdr:nvPicPr>
        <xdr:cNvPr id="2997706" name="Picture 17" descr="Cwdmk.tif">
          <a:extLst>
            <a:ext uri="{FF2B5EF4-FFF2-40B4-BE49-F238E27FC236}">
              <a16:creationId xmlns:a16="http://schemas.microsoft.com/office/drawing/2014/main" id="{00000000-0008-0000-0E00-0000CABD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91300" y="333375"/>
          <a:ext cx="1133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0</xdr:row>
      <xdr:rowOff>123825</xdr:rowOff>
    </xdr:from>
    <xdr:to>
      <xdr:col>19</xdr:col>
      <xdr:colOff>57150</xdr:colOff>
      <xdr:row>0</xdr:row>
      <xdr:rowOff>676275</xdr:rowOff>
    </xdr:to>
    <xdr:pic>
      <xdr:nvPicPr>
        <xdr:cNvPr id="2997707" name="Picture 18" descr="ostp logo PANTONE 328.tif">
          <a:extLst>
            <a:ext uri="{FF2B5EF4-FFF2-40B4-BE49-F238E27FC236}">
              <a16:creationId xmlns:a16="http://schemas.microsoft.com/office/drawing/2014/main" id="{00000000-0008-0000-0E00-0000CBBD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3875" y="123825"/>
          <a:ext cx="904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47625</xdr:colOff>
      <xdr:row>52</xdr:row>
      <xdr:rowOff>95250</xdr:rowOff>
    </xdr:from>
    <xdr:to>
      <xdr:col>19</xdr:col>
      <xdr:colOff>361950</xdr:colOff>
      <xdr:row>62</xdr:row>
      <xdr:rowOff>152400</xdr:rowOff>
    </xdr:to>
    <xdr:pic>
      <xdr:nvPicPr>
        <xdr:cNvPr id="2997708" name="Picture 142">
          <a:extLst>
            <a:ext uri="{FF2B5EF4-FFF2-40B4-BE49-F238E27FC236}">
              <a16:creationId xmlns:a16="http://schemas.microsoft.com/office/drawing/2014/main" id="{00000000-0008-0000-0E00-0000CCBD2D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581900" y="12153900"/>
          <a:ext cx="1771650"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266700</xdr:colOff>
      <xdr:row>11</xdr:row>
      <xdr:rowOff>95250</xdr:rowOff>
    </xdr:from>
    <xdr:to>
      <xdr:col>18</xdr:col>
      <xdr:colOff>400050</xdr:colOff>
      <xdr:row>18</xdr:row>
      <xdr:rowOff>152400</xdr:rowOff>
    </xdr:to>
    <xdr:pic>
      <xdr:nvPicPr>
        <xdr:cNvPr id="2967281" name="Picture 66" descr="Pump selection">
          <a:extLst>
            <a:ext uri="{FF2B5EF4-FFF2-40B4-BE49-F238E27FC236}">
              <a16:creationId xmlns:a16="http://schemas.microsoft.com/office/drawing/2014/main" id="{00000000-0008-0000-0F00-0000F146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3425" y="2495550"/>
          <a:ext cx="3714750" cy="12096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7282" name="Picture 68" descr="Distribution Head Loss">
          <a:extLst>
            <a:ext uri="{FF2B5EF4-FFF2-40B4-BE49-F238E27FC236}">
              <a16:creationId xmlns:a16="http://schemas.microsoft.com/office/drawing/2014/main" id="{00000000-0008-0000-0F00-0000F24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957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0</xdr:rowOff>
    </xdr:from>
    <xdr:to>
      <xdr:col>3</xdr:col>
      <xdr:colOff>180975</xdr:colOff>
      <xdr:row>0</xdr:row>
      <xdr:rowOff>790575</xdr:rowOff>
    </xdr:to>
    <xdr:pic>
      <xdr:nvPicPr>
        <xdr:cNvPr id="2967283" name="Picture 83" descr="mpca-center-4c">
          <a:extLst>
            <a:ext uri="{FF2B5EF4-FFF2-40B4-BE49-F238E27FC236}">
              <a16:creationId xmlns:a16="http://schemas.microsoft.com/office/drawing/2014/main" id="{00000000-0008-0000-0F00-0000F346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0"/>
          <a:ext cx="1295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238125</xdr:colOff>
      <xdr:row>0</xdr:row>
      <xdr:rowOff>428625</xdr:rowOff>
    </xdr:from>
    <xdr:to>
      <xdr:col>16</xdr:col>
      <xdr:colOff>180975</xdr:colOff>
      <xdr:row>0</xdr:row>
      <xdr:rowOff>781050</xdr:rowOff>
    </xdr:to>
    <xdr:pic>
      <xdr:nvPicPr>
        <xdr:cNvPr id="2967284" name="Picture 7" descr="Cwdmk.tif">
          <a:extLst>
            <a:ext uri="{FF2B5EF4-FFF2-40B4-BE49-F238E27FC236}">
              <a16:creationId xmlns:a16="http://schemas.microsoft.com/office/drawing/2014/main" id="{00000000-0008-0000-0F00-0000F446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57875" y="428625"/>
          <a:ext cx="1285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238125</xdr:colOff>
      <xdr:row>0</xdr:row>
      <xdr:rowOff>152400</xdr:rowOff>
    </xdr:from>
    <xdr:to>
      <xdr:col>18</xdr:col>
      <xdr:colOff>352425</xdr:colOff>
      <xdr:row>0</xdr:row>
      <xdr:rowOff>714375</xdr:rowOff>
    </xdr:to>
    <xdr:pic>
      <xdr:nvPicPr>
        <xdr:cNvPr id="2967285" name="Picture 8" descr="ostp logo PANTONE 328.tif">
          <a:extLst>
            <a:ext uri="{FF2B5EF4-FFF2-40B4-BE49-F238E27FC236}">
              <a16:creationId xmlns:a16="http://schemas.microsoft.com/office/drawing/2014/main" id="{00000000-0008-0000-0F00-0000F546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00900" y="152400"/>
          <a:ext cx="1009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295275</xdr:colOff>
      <xdr:row>19</xdr:row>
      <xdr:rowOff>19050</xdr:rowOff>
    </xdr:from>
    <xdr:to>
      <xdr:col>18</xdr:col>
      <xdr:colOff>304800</xdr:colOff>
      <xdr:row>39</xdr:row>
      <xdr:rowOff>47625</xdr:rowOff>
    </xdr:to>
    <xdr:pic>
      <xdr:nvPicPr>
        <xdr:cNvPr id="2967286" name="Picture 2253">
          <a:extLst>
            <a:ext uri="{FF2B5EF4-FFF2-40B4-BE49-F238E27FC236}">
              <a16:creationId xmlns:a16="http://schemas.microsoft.com/office/drawing/2014/main" id="{00000000-0008-0000-0F00-0000F6462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19675" y="3819525"/>
          <a:ext cx="3143250"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342900</xdr:colOff>
      <xdr:row>1</xdr:row>
      <xdr:rowOff>0</xdr:rowOff>
    </xdr:from>
    <xdr:to>
      <xdr:col>36</xdr:col>
      <xdr:colOff>438150</xdr:colOff>
      <xdr:row>10</xdr:row>
      <xdr:rowOff>123825</xdr:rowOff>
    </xdr:to>
    <xdr:grpSp>
      <xdr:nvGrpSpPr>
        <xdr:cNvPr id="2999506" name="Group 1363">
          <a:extLst>
            <a:ext uri="{FF2B5EF4-FFF2-40B4-BE49-F238E27FC236}">
              <a16:creationId xmlns:a16="http://schemas.microsoft.com/office/drawing/2014/main" id="{00000000-0008-0000-1000-0000D2C42D00}"/>
            </a:ext>
          </a:extLst>
        </xdr:cNvPr>
        <xdr:cNvGrpSpPr>
          <a:grpSpLocks/>
        </xdr:cNvGrpSpPr>
      </xdr:nvGrpSpPr>
      <xdr:grpSpPr bwMode="auto">
        <a:xfrm>
          <a:off x="15192375" y="876300"/>
          <a:ext cx="1885950" cy="1724025"/>
          <a:chOff x="557" y="117"/>
          <a:chExt cx="209" cy="169"/>
        </a:xfrm>
      </xdr:grpSpPr>
      <xdr:grpSp>
        <xdr:nvGrpSpPr>
          <xdr:cNvPr id="2999513" name="Group 1362">
            <a:extLst>
              <a:ext uri="{FF2B5EF4-FFF2-40B4-BE49-F238E27FC236}">
                <a16:creationId xmlns:a16="http://schemas.microsoft.com/office/drawing/2014/main" id="{00000000-0008-0000-1000-0000D9C42D00}"/>
              </a:ext>
            </a:extLst>
          </xdr:cNvPr>
          <xdr:cNvGrpSpPr>
            <a:grpSpLocks/>
          </xdr:cNvGrpSpPr>
        </xdr:nvGrpSpPr>
        <xdr:grpSpPr bwMode="auto">
          <a:xfrm>
            <a:off x="557" y="117"/>
            <a:ext cx="209" cy="169"/>
            <a:chOff x="557" y="117"/>
            <a:chExt cx="209" cy="169"/>
          </a:xfrm>
        </xdr:grpSpPr>
        <xdr:sp macro="" textlink="">
          <xdr:nvSpPr>
            <xdr:cNvPr id="2999515" name="Oval 3">
              <a:extLst>
                <a:ext uri="{FF2B5EF4-FFF2-40B4-BE49-F238E27FC236}">
                  <a16:creationId xmlns:a16="http://schemas.microsoft.com/office/drawing/2014/main" id="{00000000-0008-0000-1000-0000DBC4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9516" name="Rectangle 4">
              <a:extLst>
                <a:ext uri="{FF2B5EF4-FFF2-40B4-BE49-F238E27FC236}">
                  <a16:creationId xmlns:a16="http://schemas.microsoft.com/office/drawing/2014/main" id="{00000000-0008-0000-1000-0000DCC4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9517" name="Line 5">
              <a:extLst>
                <a:ext uri="{FF2B5EF4-FFF2-40B4-BE49-F238E27FC236}">
                  <a16:creationId xmlns:a16="http://schemas.microsoft.com/office/drawing/2014/main" id="{00000000-0008-0000-1000-0000DDC4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9518" name="Line 6">
              <a:extLst>
                <a:ext uri="{FF2B5EF4-FFF2-40B4-BE49-F238E27FC236}">
                  <a16:creationId xmlns:a16="http://schemas.microsoft.com/office/drawing/2014/main" id="{00000000-0008-0000-1000-0000DEC4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9" name="Text Box 7">
              <a:extLst>
                <a:ext uri="{FF2B5EF4-FFF2-40B4-BE49-F238E27FC236}">
                  <a16:creationId xmlns:a16="http://schemas.microsoft.com/office/drawing/2014/main" id="{00000000-0008-0000-1000-000009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10" name="Text Box 8">
              <a:extLst>
                <a:ext uri="{FF2B5EF4-FFF2-40B4-BE49-F238E27FC236}">
                  <a16:creationId xmlns:a16="http://schemas.microsoft.com/office/drawing/2014/main" id="{00000000-0008-0000-1000-00000A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11" name="Text Box 9">
              <a:extLst>
                <a:ext uri="{FF2B5EF4-FFF2-40B4-BE49-F238E27FC236}">
                  <a16:creationId xmlns:a16="http://schemas.microsoft.com/office/drawing/2014/main" id="{00000000-0008-0000-1000-00000B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9514" name="Line 10">
            <a:extLst>
              <a:ext uri="{FF2B5EF4-FFF2-40B4-BE49-F238E27FC236}">
                <a16:creationId xmlns:a16="http://schemas.microsoft.com/office/drawing/2014/main" id="{00000000-0008-0000-1000-0000DAC4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9507" name="Picture 128" descr="Tank Capacity">
          <a:extLst>
            <a:ext uri="{FF2B5EF4-FFF2-40B4-BE49-F238E27FC236}">
              <a16:creationId xmlns:a16="http://schemas.microsoft.com/office/drawing/2014/main" id="{00000000-0008-0000-1000-0000D3C4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228600</xdr:colOff>
      <xdr:row>27</xdr:row>
      <xdr:rowOff>142875</xdr:rowOff>
    </xdr:from>
    <xdr:to>
      <xdr:col>18</xdr:col>
      <xdr:colOff>66675</xdr:colOff>
      <xdr:row>39</xdr:row>
      <xdr:rowOff>142875</xdr:rowOff>
    </xdr:to>
    <xdr:pic>
      <xdr:nvPicPr>
        <xdr:cNvPr id="2999508" name="Picture 129" descr="Volume of Pipe II">
          <a:extLst>
            <a:ext uri="{FF2B5EF4-FFF2-40B4-BE49-F238E27FC236}">
              <a16:creationId xmlns:a16="http://schemas.microsoft.com/office/drawing/2014/main" id="{00000000-0008-0000-1000-0000D4C4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1325" y="6276975"/>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0</xdr:row>
      <xdr:rowOff>76200</xdr:rowOff>
    </xdr:from>
    <xdr:to>
      <xdr:col>3</xdr:col>
      <xdr:colOff>257175</xdr:colOff>
      <xdr:row>0</xdr:row>
      <xdr:rowOff>752475</xdr:rowOff>
    </xdr:to>
    <xdr:pic>
      <xdr:nvPicPr>
        <xdr:cNvPr id="2999509" name="Picture 144" descr="mpca-center-4c">
          <a:extLst>
            <a:ext uri="{FF2B5EF4-FFF2-40B4-BE49-F238E27FC236}">
              <a16:creationId xmlns:a16="http://schemas.microsoft.com/office/drawing/2014/main" id="{00000000-0008-0000-1000-0000D5C4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76200"/>
          <a:ext cx="1171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0</xdr:row>
      <xdr:rowOff>257175</xdr:rowOff>
    </xdr:from>
    <xdr:to>
      <xdr:col>16</xdr:col>
      <xdr:colOff>190500</xdr:colOff>
      <xdr:row>0</xdr:row>
      <xdr:rowOff>800100</xdr:rowOff>
    </xdr:to>
    <xdr:pic>
      <xdr:nvPicPr>
        <xdr:cNvPr id="2999510" name="Picture 17" descr="Cwdmk.tif">
          <a:extLst>
            <a:ext uri="{FF2B5EF4-FFF2-40B4-BE49-F238E27FC236}">
              <a16:creationId xmlns:a16="http://schemas.microsoft.com/office/drawing/2014/main" id="{00000000-0008-0000-1000-0000D6C4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91300" y="257175"/>
          <a:ext cx="11334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0</xdr:row>
      <xdr:rowOff>104775</xdr:rowOff>
    </xdr:from>
    <xdr:to>
      <xdr:col>19</xdr:col>
      <xdr:colOff>57150</xdr:colOff>
      <xdr:row>0</xdr:row>
      <xdr:rowOff>857250</xdr:rowOff>
    </xdr:to>
    <xdr:pic>
      <xdr:nvPicPr>
        <xdr:cNvPr id="2999511" name="Picture 18" descr="ostp logo PANTONE 328.tif">
          <a:extLst>
            <a:ext uri="{FF2B5EF4-FFF2-40B4-BE49-F238E27FC236}">
              <a16:creationId xmlns:a16="http://schemas.microsoft.com/office/drawing/2014/main" id="{00000000-0008-0000-1000-0000D7C4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3875" y="104775"/>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46</xdr:row>
      <xdr:rowOff>171450</xdr:rowOff>
    </xdr:from>
    <xdr:to>
      <xdr:col>19</xdr:col>
      <xdr:colOff>342900</xdr:colOff>
      <xdr:row>54</xdr:row>
      <xdr:rowOff>28575</xdr:rowOff>
    </xdr:to>
    <xdr:pic>
      <xdr:nvPicPr>
        <xdr:cNvPr id="2999512" name="Picture 142">
          <a:extLst>
            <a:ext uri="{FF2B5EF4-FFF2-40B4-BE49-F238E27FC236}">
              <a16:creationId xmlns:a16="http://schemas.microsoft.com/office/drawing/2014/main" id="{00000000-0008-0000-1000-0000D8C42D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15250" y="10915650"/>
          <a:ext cx="16192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342900</xdr:colOff>
      <xdr:row>1</xdr:row>
      <xdr:rowOff>0</xdr:rowOff>
    </xdr:from>
    <xdr:to>
      <xdr:col>36</xdr:col>
      <xdr:colOff>438150</xdr:colOff>
      <xdr:row>11</xdr:row>
      <xdr:rowOff>0</xdr:rowOff>
    </xdr:to>
    <xdr:grpSp>
      <xdr:nvGrpSpPr>
        <xdr:cNvPr id="3000530" name="Group 1363">
          <a:extLst>
            <a:ext uri="{FF2B5EF4-FFF2-40B4-BE49-F238E27FC236}">
              <a16:creationId xmlns:a16="http://schemas.microsoft.com/office/drawing/2014/main" id="{00000000-0008-0000-1100-0000D2C82D00}"/>
            </a:ext>
          </a:extLst>
        </xdr:cNvPr>
        <xdr:cNvGrpSpPr>
          <a:grpSpLocks/>
        </xdr:cNvGrpSpPr>
      </xdr:nvGrpSpPr>
      <xdr:grpSpPr bwMode="auto">
        <a:xfrm>
          <a:off x="15192375" y="876300"/>
          <a:ext cx="1885950" cy="1905000"/>
          <a:chOff x="557" y="117"/>
          <a:chExt cx="209" cy="169"/>
        </a:xfrm>
      </xdr:grpSpPr>
      <xdr:grpSp>
        <xdr:nvGrpSpPr>
          <xdr:cNvPr id="3000537" name="Group 1362">
            <a:extLst>
              <a:ext uri="{FF2B5EF4-FFF2-40B4-BE49-F238E27FC236}">
                <a16:creationId xmlns:a16="http://schemas.microsoft.com/office/drawing/2014/main" id="{00000000-0008-0000-1100-0000D9C82D00}"/>
              </a:ext>
            </a:extLst>
          </xdr:cNvPr>
          <xdr:cNvGrpSpPr>
            <a:grpSpLocks/>
          </xdr:cNvGrpSpPr>
        </xdr:nvGrpSpPr>
        <xdr:grpSpPr bwMode="auto">
          <a:xfrm>
            <a:off x="557" y="117"/>
            <a:ext cx="209" cy="169"/>
            <a:chOff x="557" y="117"/>
            <a:chExt cx="209" cy="169"/>
          </a:xfrm>
        </xdr:grpSpPr>
        <xdr:sp macro="" textlink="">
          <xdr:nvSpPr>
            <xdr:cNvPr id="3000539" name="Oval 3">
              <a:extLst>
                <a:ext uri="{FF2B5EF4-FFF2-40B4-BE49-F238E27FC236}">
                  <a16:creationId xmlns:a16="http://schemas.microsoft.com/office/drawing/2014/main" id="{00000000-0008-0000-1100-0000DBC8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3000540" name="Rectangle 4">
              <a:extLst>
                <a:ext uri="{FF2B5EF4-FFF2-40B4-BE49-F238E27FC236}">
                  <a16:creationId xmlns:a16="http://schemas.microsoft.com/office/drawing/2014/main" id="{00000000-0008-0000-1100-0000DCC8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3000541" name="Line 5">
              <a:extLst>
                <a:ext uri="{FF2B5EF4-FFF2-40B4-BE49-F238E27FC236}">
                  <a16:creationId xmlns:a16="http://schemas.microsoft.com/office/drawing/2014/main" id="{00000000-0008-0000-1100-0000DDC8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000542" name="Line 6">
              <a:extLst>
                <a:ext uri="{FF2B5EF4-FFF2-40B4-BE49-F238E27FC236}">
                  <a16:creationId xmlns:a16="http://schemas.microsoft.com/office/drawing/2014/main" id="{00000000-0008-0000-1100-0000DEC8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9" name="Text Box 7">
              <a:extLst>
                <a:ext uri="{FF2B5EF4-FFF2-40B4-BE49-F238E27FC236}">
                  <a16:creationId xmlns:a16="http://schemas.microsoft.com/office/drawing/2014/main" id="{00000000-0008-0000-1100-000009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10" name="Text Box 8">
              <a:extLst>
                <a:ext uri="{FF2B5EF4-FFF2-40B4-BE49-F238E27FC236}">
                  <a16:creationId xmlns:a16="http://schemas.microsoft.com/office/drawing/2014/main" id="{00000000-0008-0000-1100-00000A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11" name="Text Box 9">
              <a:extLst>
                <a:ext uri="{FF2B5EF4-FFF2-40B4-BE49-F238E27FC236}">
                  <a16:creationId xmlns:a16="http://schemas.microsoft.com/office/drawing/2014/main" id="{00000000-0008-0000-1100-00000B000000}"/>
                </a:ext>
              </a:extLst>
            </xdr:cNvPr>
            <xdr:cNvSpPr txBox="1">
              <a:spLocks noChangeArrowheads="1"/>
            </xdr:cNvSpPr>
          </xdr:nvSpPr>
          <xdr:spPr bwMode="auto">
            <a:xfrm>
              <a:off x="696" y="256"/>
              <a:ext cx="53" cy="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3000538" name="Line 10">
            <a:extLst>
              <a:ext uri="{FF2B5EF4-FFF2-40B4-BE49-F238E27FC236}">
                <a16:creationId xmlns:a16="http://schemas.microsoft.com/office/drawing/2014/main" id="{00000000-0008-0000-1100-0000DAC8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161925</xdr:colOff>
      <xdr:row>35</xdr:row>
      <xdr:rowOff>152400</xdr:rowOff>
    </xdr:from>
    <xdr:to>
      <xdr:col>28</xdr:col>
      <xdr:colOff>76200</xdr:colOff>
      <xdr:row>42</xdr:row>
      <xdr:rowOff>9525</xdr:rowOff>
    </xdr:to>
    <xdr:pic>
      <xdr:nvPicPr>
        <xdr:cNvPr id="3000531" name="Picture 128" descr="Tank Capacity">
          <a:extLst>
            <a:ext uri="{FF2B5EF4-FFF2-40B4-BE49-F238E27FC236}">
              <a16:creationId xmlns:a16="http://schemas.microsoft.com/office/drawing/2014/main" id="{00000000-0008-0000-1100-0000D3C8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813435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228600</xdr:colOff>
      <xdr:row>27</xdr:row>
      <xdr:rowOff>142875</xdr:rowOff>
    </xdr:from>
    <xdr:to>
      <xdr:col>18</xdr:col>
      <xdr:colOff>66675</xdr:colOff>
      <xdr:row>40</xdr:row>
      <xdr:rowOff>0</xdr:rowOff>
    </xdr:to>
    <xdr:pic>
      <xdr:nvPicPr>
        <xdr:cNvPr id="3000532" name="Picture 129" descr="Volume of Pipe II">
          <a:extLst>
            <a:ext uri="{FF2B5EF4-FFF2-40B4-BE49-F238E27FC236}">
              <a16:creationId xmlns:a16="http://schemas.microsoft.com/office/drawing/2014/main" id="{00000000-0008-0000-1100-0000D4C8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1325" y="6276975"/>
          <a:ext cx="1781175" cy="30765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0</xdr:row>
      <xdr:rowOff>76200</xdr:rowOff>
    </xdr:from>
    <xdr:to>
      <xdr:col>3</xdr:col>
      <xdr:colOff>257175</xdr:colOff>
      <xdr:row>0</xdr:row>
      <xdr:rowOff>752475</xdr:rowOff>
    </xdr:to>
    <xdr:pic>
      <xdr:nvPicPr>
        <xdr:cNvPr id="3000533" name="Picture 144" descr="mpca-center-4c">
          <a:extLst>
            <a:ext uri="{FF2B5EF4-FFF2-40B4-BE49-F238E27FC236}">
              <a16:creationId xmlns:a16="http://schemas.microsoft.com/office/drawing/2014/main" id="{00000000-0008-0000-1100-0000D5C8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 y="76200"/>
          <a:ext cx="11715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28575</xdr:colOff>
      <xdr:row>0</xdr:row>
      <xdr:rowOff>285750</xdr:rowOff>
    </xdr:from>
    <xdr:to>
      <xdr:col>16</xdr:col>
      <xdr:colOff>190500</xdr:colOff>
      <xdr:row>0</xdr:row>
      <xdr:rowOff>828675</xdr:rowOff>
    </xdr:to>
    <xdr:pic>
      <xdr:nvPicPr>
        <xdr:cNvPr id="3000534" name="Picture 17" descr="Cwdmk.tif">
          <a:extLst>
            <a:ext uri="{FF2B5EF4-FFF2-40B4-BE49-F238E27FC236}">
              <a16:creationId xmlns:a16="http://schemas.microsoft.com/office/drawing/2014/main" id="{00000000-0008-0000-1100-0000D6C8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91300" y="285750"/>
          <a:ext cx="11334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0</xdr:row>
      <xdr:rowOff>123825</xdr:rowOff>
    </xdr:from>
    <xdr:to>
      <xdr:col>19</xdr:col>
      <xdr:colOff>57150</xdr:colOff>
      <xdr:row>1</xdr:row>
      <xdr:rowOff>0</xdr:rowOff>
    </xdr:to>
    <xdr:pic>
      <xdr:nvPicPr>
        <xdr:cNvPr id="3000535" name="Picture 18" descr="ostp logo PANTONE 328.tif">
          <a:extLst>
            <a:ext uri="{FF2B5EF4-FFF2-40B4-BE49-F238E27FC236}">
              <a16:creationId xmlns:a16="http://schemas.microsoft.com/office/drawing/2014/main" id="{00000000-0008-0000-1100-0000D7C8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43875" y="123825"/>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47625</xdr:colOff>
      <xdr:row>52</xdr:row>
      <xdr:rowOff>95250</xdr:rowOff>
    </xdr:from>
    <xdr:to>
      <xdr:col>19</xdr:col>
      <xdr:colOff>361950</xdr:colOff>
      <xdr:row>62</xdr:row>
      <xdr:rowOff>152400</xdr:rowOff>
    </xdr:to>
    <xdr:pic>
      <xdr:nvPicPr>
        <xdr:cNvPr id="3000536" name="Picture 142">
          <a:extLst>
            <a:ext uri="{FF2B5EF4-FFF2-40B4-BE49-F238E27FC236}">
              <a16:creationId xmlns:a16="http://schemas.microsoft.com/office/drawing/2014/main" id="{00000000-0008-0000-1100-0000D8C82D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581900" y="12153900"/>
          <a:ext cx="1771650"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85725</xdr:colOff>
      <xdr:row>21</xdr:row>
      <xdr:rowOff>38100</xdr:rowOff>
    </xdr:from>
    <xdr:to>
      <xdr:col>18</xdr:col>
      <xdr:colOff>409575</xdr:colOff>
      <xdr:row>30</xdr:row>
      <xdr:rowOff>209550</xdr:rowOff>
    </xdr:to>
    <xdr:pic>
      <xdr:nvPicPr>
        <xdr:cNvPr id="2976492" name="Picture 69" descr="Equivalent Length Factors">
          <a:extLst>
            <a:ext uri="{FF2B5EF4-FFF2-40B4-BE49-F238E27FC236}">
              <a16:creationId xmlns:a16="http://schemas.microsoft.com/office/drawing/2014/main" id="{00000000-0008-0000-1200-0000EC6A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4486275"/>
          <a:ext cx="3009900"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19050</xdr:rowOff>
    </xdr:from>
    <xdr:to>
      <xdr:col>3</xdr:col>
      <xdr:colOff>114300</xdr:colOff>
      <xdr:row>0</xdr:row>
      <xdr:rowOff>771525</xdr:rowOff>
    </xdr:to>
    <xdr:pic>
      <xdr:nvPicPr>
        <xdr:cNvPr id="2976493" name="Picture 83" descr="mpca-center-4c">
          <a:extLst>
            <a:ext uri="{FF2B5EF4-FFF2-40B4-BE49-F238E27FC236}">
              <a16:creationId xmlns:a16="http://schemas.microsoft.com/office/drawing/2014/main" id="{00000000-0008-0000-1200-0000ED6A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9050"/>
          <a:ext cx="12287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247650</xdr:colOff>
      <xdr:row>0</xdr:row>
      <xdr:rowOff>323850</xdr:rowOff>
    </xdr:from>
    <xdr:to>
      <xdr:col>17</xdr:col>
      <xdr:colOff>47625</xdr:colOff>
      <xdr:row>0</xdr:row>
      <xdr:rowOff>666750</xdr:rowOff>
    </xdr:to>
    <xdr:pic>
      <xdr:nvPicPr>
        <xdr:cNvPr id="2976494" name="Picture 7" descr="Cwdmk.tif">
          <a:extLst>
            <a:ext uri="{FF2B5EF4-FFF2-40B4-BE49-F238E27FC236}">
              <a16:creationId xmlns:a16="http://schemas.microsoft.com/office/drawing/2014/main" id="{00000000-0008-0000-1200-0000EE6A2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15075" y="323850"/>
          <a:ext cx="11430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247650</xdr:colOff>
      <xdr:row>0</xdr:row>
      <xdr:rowOff>219075</xdr:rowOff>
    </xdr:from>
    <xdr:to>
      <xdr:col>19</xdr:col>
      <xdr:colOff>276225</xdr:colOff>
      <xdr:row>0</xdr:row>
      <xdr:rowOff>781050</xdr:rowOff>
    </xdr:to>
    <xdr:pic>
      <xdr:nvPicPr>
        <xdr:cNvPr id="2976495" name="Picture 8" descr="ostp logo PANTONE 328.tif">
          <a:extLst>
            <a:ext uri="{FF2B5EF4-FFF2-40B4-BE49-F238E27FC236}">
              <a16:creationId xmlns:a16="http://schemas.microsoft.com/office/drawing/2014/main" id="{00000000-0008-0000-1200-0000EF6A2D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58100" y="219075"/>
          <a:ext cx="923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xdr:row>
      <xdr:rowOff>19050</xdr:rowOff>
    </xdr:from>
    <xdr:to>
      <xdr:col>19</xdr:col>
      <xdr:colOff>219075</xdr:colOff>
      <xdr:row>9</xdr:row>
      <xdr:rowOff>66675</xdr:rowOff>
    </xdr:to>
    <xdr:pic>
      <xdr:nvPicPr>
        <xdr:cNvPr id="2976496" name="Picture 4591">
          <a:extLst>
            <a:ext uri="{FF2B5EF4-FFF2-40B4-BE49-F238E27FC236}">
              <a16:creationId xmlns:a16="http://schemas.microsoft.com/office/drawing/2014/main" id="{00000000-0008-0000-1200-0000F06A2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53275" y="1028700"/>
          <a:ext cx="13716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85725</xdr:colOff>
      <xdr:row>2</xdr:row>
      <xdr:rowOff>19050</xdr:rowOff>
    </xdr:from>
    <xdr:to>
      <xdr:col>16</xdr:col>
      <xdr:colOff>104775</xdr:colOff>
      <xdr:row>10</xdr:row>
      <xdr:rowOff>0</xdr:rowOff>
    </xdr:to>
    <xdr:pic>
      <xdr:nvPicPr>
        <xdr:cNvPr id="2976497" name="Picture 4590">
          <a:extLst>
            <a:ext uri="{FF2B5EF4-FFF2-40B4-BE49-F238E27FC236}">
              <a16:creationId xmlns:a16="http://schemas.microsoft.com/office/drawing/2014/main" id="{00000000-0008-0000-1200-0000F16A2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05475" y="1028700"/>
          <a:ext cx="136207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13</xdr:col>
          <xdr:colOff>257175</xdr:colOff>
          <xdr:row>32</xdr:row>
          <xdr:rowOff>95250</xdr:rowOff>
        </xdr:from>
        <xdr:to>
          <xdr:col>18</xdr:col>
          <xdr:colOff>57150</xdr:colOff>
          <xdr:row>34</xdr:row>
          <xdr:rowOff>123825</xdr:rowOff>
        </xdr:to>
        <xdr:sp macro="" textlink="">
          <xdr:nvSpPr>
            <xdr:cNvPr id="43019" name="Object 11" hidden="1">
              <a:extLst>
                <a:ext uri="{63B3BB69-23CF-44E3-9099-C40C66FF867C}">
                  <a14:compatExt spid="_x0000_s43019"/>
                </a:ext>
                <a:ext uri="{FF2B5EF4-FFF2-40B4-BE49-F238E27FC236}">
                  <a16:creationId xmlns:a16="http://schemas.microsoft.com/office/drawing/2014/main" id="{00000000-0008-0000-1200-00000B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xdr:row>
          <xdr:rowOff>28575</xdr:rowOff>
        </xdr:from>
        <xdr:to>
          <xdr:col>8</xdr:col>
          <xdr:colOff>333375</xdr:colOff>
          <xdr:row>3</xdr:row>
          <xdr:rowOff>190500</xdr:rowOff>
        </xdr:to>
        <xdr:sp macro="" textlink="">
          <xdr:nvSpPr>
            <xdr:cNvPr id="43558" name="Option Button 550" descr="Gravity Distribution" hidden="1">
              <a:extLst>
                <a:ext uri="{63B3BB69-23CF-44E3-9099-C40C66FF867C}">
                  <a14:compatExt spid="_x0000_s43558"/>
                </a:ext>
                <a:ext uri="{FF2B5EF4-FFF2-40B4-BE49-F238E27FC236}">
                  <a16:creationId xmlns:a16="http://schemas.microsoft.com/office/drawing/2014/main" id="{00000000-0008-0000-1200-000026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Gravity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xdr:row>
          <xdr:rowOff>28575</xdr:rowOff>
        </xdr:from>
        <xdr:to>
          <xdr:col>10</xdr:col>
          <xdr:colOff>95250</xdr:colOff>
          <xdr:row>3</xdr:row>
          <xdr:rowOff>190500</xdr:rowOff>
        </xdr:to>
        <xdr:sp macro="" textlink="">
          <xdr:nvSpPr>
            <xdr:cNvPr id="43560" name="Option Button 552" descr="Gravity Distribution" hidden="1">
              <a:extLst>
                <a:ext uri="{63B3BB69-23CF-44E3-9099-C40C66FF867C}">
                  <a14:compatExt spid="_x0000_s43560"/>
                </a:ext>
                <a:ext uri="{FF2B5EF4-FFF2-40B4-BE49-F238E27FC236}">
                  <a16:creationId xmlns:a16="http://schemas.microsoft.com/office/drawing/2014/main" id="{00000000-0008-0000-1200-000028A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Pressure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171450</xdr:rowOff>
    </xdr:from>
    <xdr:to>
      <xdr:col>9</xdr:col>
      <xdr:colOff>438150</xdr:colOff>
      <xdr:row>0</xdr:row>
      <xdr:rowOff>523875</xdr:rowOff>
    </xdr:to>
    <xdr:pic>
      <xdr:nvPicPr>
        <xdr:cNvPr id="2969973" name="Picture 3" descr="Cwdmk.tif">
          <a:extLst>
            <a:ext uri="{FF2B5EF4-FFF2-40B4-BE49-F238E27FC236}">
              <a16:creationId xmlns:a16="http://schemas.microsoft.com/office/drawing/2014/main" id="{00000000-0008-0000-0100-00007551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0" y="171450"/>
          <a:ext cx="11525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495300</xdr:colOff>
      <xdr:row>0</xdr:row>
      <xdr:rowOff>0</xdr:rowOff>
    </xdr:from>
    <xdr:to>
      <xdr:col>10</xdr:col>
      <xdr:colOff>704850</xdr:colOff>
      <xdr:row>0</xdr:row>
      <xdr:rowOff>628650</xdr:rowOff>
    </xdr:to>
    <xdr:pic>
      <xdr:nvPicPr>
        <xdr:cNvPr id="2969974" name="Picture 4" descr="ostp logo PANTONE 328.tif">
          <a:extLst>
            <a:ext uri="{FF2B5EF4-FFF2-40B4-BE49-F238E27FC236}">
              <a16:creationId xmlns:a16="http://schemas.microsoft.com/office/drawing/2014/main" id="{00000000-0008-0000-0100-000076512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4675" y="0"/>
          <a:ext cx="9239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495300</xdr:colOff>
      <xdr:row>0</xdr:row>
      <xdr:rowOff>790575</xdr:rowOff>
    </xdr:to>
    <xdr:pic>
      <xdr:nvPicPr>
        <xdr:cNvPr id="2969975" name="Picture 2" descr="mpca-center-4c">
          <a:extLst>
            <a:ext uri="{FF2B5EF4-FFF2-40B4-BE49-F238E27FC236}">
              <a16:creationId xmlns:a16="http://schemas.microsoft.com/office/drawing/2014/main" id="{00000000-0008-0000-0100-00007751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096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76200</xdr:colOff>
      <xdr:row>0</xdr:row>
      <xdr:rowOff>323850</xdr:rowOff>
    </xdr:from>
    <xdr:to>
      <xdr:col>2</xdr:col>
      <xdr:colOff>1257300</xdr:colOff>
      <xdr:row>1</xdr:row>
      <xdr:rowOff>276225</xdr:rowOff>
    </xdr:to>
    <xdr:pic>
      <xdr:nvPicPr>
        <xdr:cNvPr id="2931278" name="Picture 4" descr="Cwdmk.tif">
          <a:extLst>
            <a:ext uri="{FF2B5EF4-FFF2-40B4-BE49-F238E27FC236}">
              <a16:creationId xmlns:a16="http://schemas.microsoft.com/office/drawing/2014/main" id="{00000000-0008-0000-1400-00004EBA2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23850"/>
          <a:ext cx="1181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1323975</xdr:colOff>
      <xdr:row>0</xdr:row>
      <xdr:rowOff>200025</xdr:rowOff>
    </xdr:from>
    <xdr:to>
      <xdr:col>2</xdr:col>
      <xdr:colOff>2266950</xdr:colOff>
      <xdr:row>1</xdr:row>
      <xdr:rowOff>361950</xdr:rowOff>
    </xdr:to>
    <xdr:pic>
      <xdr:nvPicPr>
        <xdr:cNvPr id="2931279" name="Picture 5" descr="ostp logo PANTONE 328.tif">
          <a:extLst>
            <a:ext uri="{FF2B5EF4-FFF2-40B4-BE49-F238E27FC236}">
              <a16:creationId xmlns:a16="http://schemas.microsoft.com/office/drawing/2014/main" id="{00000000-0008-0000-1400-00004FBA2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7375" y="200025"/>
          <a:ext cx="904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169069</xdr:colOff>
      <xdr:row>2</xdr:row>
      <xdr:rowOff>3572</xdr:rowOff>
    </xdr:from>
    <xdr:to>
      <xdr:col>26</xdr:col>
      <xdr:colOff>311944</xdr:colOff>
      <xdr:row>11</xdr:row>
      <xdr:rowOff>40480</xdr:rowOff>
    </xdr:to>
    <xdr:pic>
      <xdr:nvPicPr>
        <xdr:cNvPr id="2962373" name="Picture 125" descr="Design Flow Table">
          <a:extLst>
            <a:ext uri="{FF2B5EF4-FFF2-40B4-BE49-F238E27FC236}">
              <a16:creationId xmlns:a16="http://schemas.microsoft.com/office/drawing/2014/main" id="{00000000-0008-0000-0200-0000C533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24975" y="890588"/>
          <a:ext cx="2857500" cy="1477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161925</xdr:colOff>
      <xdr:row>14</xdr:row>
      <xdr:rowOff>114300</xdr:rowOff>
    </xdr:from>
    <xdr:to>
      <xdr:col>28</xdr:col>
      <xdr:colOff>647700</xdr:colOff>
      <xdr:row>23</xdr:row>
      <xdr:rowOff>38100</xdr:rowOff>
    </xdr:to>
    <xdr:pic>
      <xdr:nvPicPr>
        <xdr:cNvPr id="2962374" name="Picture 126" descr="Septic Tank Capacity">
          <a:extLst>
            <a:ext uri="{FF2B5EF4-FFF2-40B4-BE49-F238E27FC236}">
              <a16:creationId xmlns:a16="http://schemas.microsoft.com/office/drawing/2014/main" id="{00000000-0008-0000-0200-0000C633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2981325"/>
          <a:ext cx="4714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2</xdr:col>
      <xdr:colOff>419100</xdr:colOff>
      <xdr:row>0</xdr:row>
      <xdr:rowOff>781050</xdr:rowOff>
    </xdr:to>
    <xdr:pic>
      <xdr:nvPicPr>
        <xdr:cNvPr id="2962375" name="Picture 142" descr="mpca-center-4c">
          <a:extLst>
            <a:ext uri="{FF2B5EF4-FFF2-40B4-BE49-F238E27FC236}">
              <a16:creationId xmlns:a16="http://schemas.microsoft.com/office/drawing/2014/main" id="{00000000-0008-0000-0200-0000C733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050"/>
          <a:ext cx="12001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152400</xdr:colOff>
      <xdr:row>0</xdr:row>
      <xdr:rowOff>323850</xdr:rowOff>
    </xdr:from>
    <xdr:to>
      <xdr:col>16</xdr:col>
      <xdr:colOff>361950</xdr:colOff>
      <xdr:row>0</xdr:row>
      <xdr:rowOff>666750</xdr:rowOff>
    </xdr:to>
    <xdr:pic>
      <xdr:nvPicPr>
        <xdr:cNvPr id="2962376" name="Picture 7" descr="Cwdmk.tif">
          <a:extLst>
            <a:ext uri="{FF2B5EF4-FFF2-40B4-BE49-F238E27FC236}">
              <a16:creationId xmlns:a16="http://schemas.microsoft.com/office/drawing/2014/main" id="{00000000-0008-0000-0200-0000C833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43625" y="323850"/>
          <a:ext cx="11334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0</xdr:row>
      <xdr:rowOff>200025</xdr:rowOff>
    </xdr:from>
    <xdr:to>
      <xdr:col>19</xdr:col>
      <xdr:colOff>247650</xdr:colOff>
      <xdr:row>0</xdr:row>
      <xdr:rowOff>762000</xdr:rowOff>
    </xdr:to>
    <xdr:pic>
      <xdr:nvPicPr>
        <xdr:cNvPr id="2962377" name="Picture 8" descr="ostp logo PANTONE 328.tif">
          <a:extLst>
            <a:ext uri="{FF2B5EF4-FFF2-40B4-BE49-F238E27FC236}">
              <a16:creationId xmlns:a16="http://schemas.microsoft.com/office/drawing/2014/main" id="{00000000-0008-0000-0200-0000C9332D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77125" y="200025"/>
          <a:ext cx="904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104775</xdr:colOff>
          <xdr:row>42</xdr:row>
          <xdr:rowOff>57150</xdr:rowOff>
        </xdr:from>
        <xdr:to>
          <xdr:col>18</xdr:col>
          <xdr:colOff>333375</xdr:colOff>
          <xdr:row>44</xdr:row>
          <xdr:rowOff>28575</xdr:rowOff>
        </xdr:to>
        <xdr:sp macro="" textlink="">
          <xdr:nvSpPr>
            <xdr:cNvPr id="2249879" name="Check Box 63639" hidden="1">
              <a:extLst>
                <a:ext uri="{63B3BB69-23CF-44E3-9099-C40C66FF867C}">
                  <a14:compatExt spid="_x0000_s2249879"/>
                </a:ext>
                <a:ext uri="{FF2B5EF4-FFF2-40B4-BE49-F238E27FC236}">
                  <a16:creationId xmlns:a16="http://schemas.microsoft.com/office/drawing/2014/main" id="{00000000-0008-0000-0200-00009754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Registered Treatment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42</xdr:row>
          <xdr:rowOff>57150</xdr:rowOff>
        </xdr:from>
        <xdr:to>
          <xdr:col>15</xdr:col>
          <xdr:colOff>9525</xdr:colOff>
          <xdr:row>44</xdr:row>
          <xdr:rowOff>28575</xdr:rowOff>
        </xdr:to>
        <xdr:sp macro="" textlink="">
          <xdr:nvSpPr>
            <xdr:cNvPr id="2249880" name="Check Box 63640" hidden="1">
              <a:extLst>
                <a:ext uri="{63B3BB69-23CF-44E3-9099-C40C66FF867C}">
                  <a14:compatExt spid="_x0000_s2249880"/>
                </a:ext>
                <a:ext uri="{FF2B5EF4-FFF2-40B4-BE49-F238E27FC236}">
                  <a16:creationId xmlns:a16="http://schemas.microsoft.com/office/drawing/2014/main" id="{00000000-0008-0000-0200-00009854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Drainfield Rock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xdr:row>
          <xdr:rowOff>57150</xdr:rowOff>
        </xdr:from>
        <xdr:to>
          <xdr:col>10</xdr:col>
          <xdr:colOff>9525</xdr:colOff>
          <xdr:row>13</xdr:row>
          <xdr:rowOff>28575</xdr:rowOff>
        </xdr:to>
        <xdr:sp macro="" textlink="">
          <xdr:nvSpPr>
            <xdr:cNvPr id="2750911" name="Check Box 70079" hidden="1">
              <a:extLst>
                <a:ext uri="{63B3BB69-23CF-44E3-9099-C40C66FF867C}">
                  <a14:compatExt spid="_x0000_s2750911"/>
                </a:ext>
                <a:ext uri="{FF2B5EF4-FFF2-40B4-BE49-F238E27FC236}">
                  <a16:creationId xmlns:a16="http://schemas.microsoft.com/office/drawing/2014/main" id="{00000000-0008-0000-0200-0000BFF9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Measured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11</xdr:row>
          <xdr:rowOff>57150</xdr:rowOff>
        </xdr:from>
        <xdr:to>
          <xdr:col>16</xdr:col>
          <xdr:colOff>19050</xdr:colOff>
          <xdr:row>13</xdr:row>
          <xdr:rowOff>28575</xdr:rowOff>
        </xdr:to>
        <xdr:sp macro="" textlink="">
          <xdr:nvSpPr>
            <xdr:cNvPr id="2750912" name="Check Box 70080" hidden="1">
              <a:extLst>
                <a:ext uri="{63B3BB69-23CF-44E3-9099-C40C66FF867C}">
                  <a14:compatExt spid="_x0000_s2750912"/>
                </a:ext>
                <a:ext uri="{FF2B5EF4-FFF2-40B4-BE49-F238E27FC236}">
                  <a16:creationId xmlns:a16="http://schemas.microsoft.com/office/drawing/2014/main" id="{00000000-0008-0000-0200-0000C0F9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Estimated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57150</xdr:rowOff>
        </xdr:from>
        <xdr:to>
          <xdr:col>4</xdr:col>
          <xdr:colOff>342900</xdr:colOff>
          <xdr:row>23</xdr:row>
          <xdr:rowOff>28575</xdr:rowOff>
        </xdr:to>
        <xdr:sp macro="" textlink="">
          <xdr:nvSpPr>
            <xdr:cNvPr id="2750950" name="Check Box 70118" hidden="1">
              <a:extLst>
                <a:ext uri="{63B3BB69-23CF-44E3-9099-C40C66FF867C}">
                  <a14:compatExt spid="_x0000_s2750950"/>
                </a:ext>
                <a:ext uri="{FF2B5EF4-FFF2-40B4-BE49-F238E27FC236}">
                  <a16:creationId xmlns:a16="http://schemas.microsoft.com/office/drawing/2014/main" id="{00000000-0008-0000-0200-0000E6F9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21</xdr:row>
          <xdr:rowOff>57150</xdr:rowOff>
        </xdr:from>
        <xdr:to>
          <xdr:col>5</xdr:col>
          <xdr:colOff>304800</xdr:colOff>
          <xdr:row>23</xdr:row>
          <xdr:rowOff>28575</xdr:rowOff>
        </xdr:to>
        <xdr:sp macro="" textlink="">
          <xdr:nvSpPr>
            <xdr:cNvPr id="2750952" name="Check Box 70120" hidden="1">
              <a:extLst>
                <a:ext uri="{63B3BB69-23CF-44E3-9099-C40C66FF867C}">
                  <a14:compatExt spid="_x0000_s2750952"/>
                </a:ext>
                <a:ext uri="{FF2B5EF4-FFF2-40B4-BE49-F238E27FC236}">
                  <a16:creationId xmlns:a16="http://schemas.microsoft.com/office/drawing/2014/main" id="{00000000-0008-0000-0200-0000E8F9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57150</xdr:rowOff>
        </xdr:from>
        <xdr:to>
          <xdr:col>7</xdr:col>
          <xdr:colOff>85725</xdr:colOff>
          <xdr:row>23</xdr:row>
          <xdr:rowOff>28575</xdr:rowOff>
        </xdr:to>
        <xdr:sp macro="" textlink="">
          <xdr:nvSpPr>
            <xdr:cNvPr id="2750960" name="Check Box 70128" hidden="1">
              <a:extLst>
                <a:ext uri="{63B3BB69-23CF-44E3-9099-C40C66FF867C}">
                  <a14:compatExt spid="_x0000_s2750960"/>
                </a:ext>
                <a:ext uri="{FF2B5EF4-FFF2-40B4-BE49-F238E27FC236}">
                  <a16:creationId xmlns:a16="http://schemas.microsoft.com/office/drawing/2014/main" id="{00000000-0008-0000-0200-0000F0F92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54</xdr:row>
          <xdr:rowOff>57150</xdr:rowOff>
        </xdr:from>
        <xdr:to>
          <xdr:col>18</xdr:col>
          <xdr:colOff>76200</xdr:colOff>
          <xdr:row>56</xdr:row>
          <xdr:rowOff>28575</xdr:rowOff>
        </xdr:to>
        <xdr:sp macro="" textlink="">
          <xdr:nvSpPr>
            <xdr:cNvPr id="2918503" name="Check Box 73831" hidden="1">
              <a:extLst>
                <a:ext uri="{63B3BB69-23CF-44E3-9099-C40C66FF867C}">
                  <a14:compatExt spid="_x0000_s2918503"/>
                </a:ext>
                <a:ext uri="{FF2B5EF4-FFF2-40B4-BE49-F238E27FC236}">
                  <a16:creationId xmlns:a16="http://schemas.microsoft.com/office/drawing/2014/main" id="{00000000-0008-0000-0200-000067882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57150</xdr:rowOff>
        </xdr:from>
        <xdr:to>
          <xdr:col>19</xdr:col>
          <xdr:colOff>85725</xdr:colOff>
          <xdr:row>56</xdr:row>
          <xdr:rowOff>28575</xdr:rowOff>
        </xdr:to>
        <xdr:sp macro="" textlink="">
          <xdr:nvSpPr>
            <xdr:cNvPr id="2918505" name="Check Box 73833" hidden="1">
              <a:extLst>
                <a:ext uri="{63B3BB69-23CF-44E3-9099-C40C66FF867C}">
                  <a14:compatExt spid="_x0000_s2918505"/>
                </a:ext>
                <a:ext uri="{FF2B5EF4-FFF2-40B4-BE49-F238E27FC236}">
                  <a16:creationId xmlns:a16="http://schemas.microsoft.com/office/drawing/2014/main" id="{00000000-0008-0000-0200-000069882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20</xdr:col>
      <xdr:colOff>142875</xdr:colOff>
      <xdr:row>24</xdr:row>
      <xdr:rowOff>114300</xdr:rowOff>
    </xdr:from>
    <xdr:to>
      <xdr:col>28</xdr:col>
      <xdr:colOff>28575</xdr:colOff>
      <xdr:row>38</xdr:row>
      <xdr:rowOff>28575</xdr:rowOff>
    </xdr:to>
    <xdr:pic>
      <xdr:nvPicPr>
        <xdr:cNvPr id="2962378" name="Picture 1">
          <a:extLst>
            <a:ext uri="{FF2B5EF4-FFF2-40B4-BE49-F238E27FC236}">
              <a16:creationId xmlns:a16="http://schemas.microsoft.com/office/drawing/2014/main" id="{00000000-0008-0000-0200-0000CA332D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05850" y="4505325"/>
          <a:ext cx="4114800"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142874</xdr:colOff>
      <xdr:row>39</xdr:row>
      <xdr:rowOff>114300</xdr:rowOff>
    </xdr:from>
    <xdr:to>
      <xdr:col>28</xdr:col>
      <xdr:colOff>361949</xdr:colOff>
      <xdr:row>82</xdr:row>
      <xdr:rowOff>38454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705849" y="6858000"/>
          <a:ext cx="4448175" cy="649640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mc:AlternateContent xmlns:mc="http://schemas.openxmlformats.org/markup-compatibility/2006">
    <mc:Choice xmlns:a14="http://schemas.microsoft.com/office/drawing/2010/main" Requires="a14">
      <xdr:twoCellAnchor editAs="oneCell">
        <xdr:from>
          <xdr:col>7</xdr:col>
          <xdr:colOff>0</xdr:colOff>
          <xdr:row>21</xdr:row>
          <xdr:rowOff>57150</xdr:rowOff>
        </xdr:from>
        <xdr:to>
          <xdr:col>9</xdr:col>
          <xdr:colOff>85725</xdr:colOff>
          <xdr:row>23</xdr:row>
          <xdr:rowOff>28575</xdr:rowOff>
        </xdr:to>
        <xdr:sp macro="" textlink="">
          <xdr:nvSpPr>
            <xdr:cNvPr id="2918506" name="Check Box 73834" hidden="1">
              <a:extLst>
                <a:ext uri="{63B3BB69-23CF-44E3-9099-C40C66FF867C}">
                  <a14:compatExt spid="_x0000_s2918506"/>
                </a:ext>
                <a:ext uri="{FF2B5EF4-FFF2-40B4-BE49-F238E27FC236}">
                  <a16:creationId xmlns:a16="http://schemas.microsoft.com/office/drawing/2014/main" id="{00000000-0008-0000-0200-00006A882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Screen Only</a:t>
              </a:r>
            </a:p>
          </xdr:txBody>
        </xdr:sp>
        <xdr:clientData/>
      </xdr:twoCellAnchor>
    </mc:Choice>
    <mc:Fallback/>
  </mc:AlternateContent>
  <xdr:twoCellAnchor>
    <xdr:from>
      <xdr:col>27</xdr:col>
      <xdr:colOff>434578</xdr:colOff>
      <xdr:row>44</xdr:row>
      <xdr:rowOff>5953</xdr:rowOff>
    </xdr:from>
    <xdr:to>
      <xdr:col>28</xdr:col>
      <xdr:colOff>357188</xdr:colOff>
      <xdr:row>78</xdr:row>
      <xdr:rowOff>208359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2709922" y="7596188"/>
          <a:ext cx="1327547" cy="5304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184547</xdr:colOff>
      <xdr:row>62</xdr:row>
      <xdr:rowOff>136921</xdr:rowOff>
    </xdr:from>
    <xdr:to>
      <xdr:col>27</xdr:col>
      <xdr:colOff>452437</xdr:colOff>
      <xdr:row>65</xdr:row>
      <xdr:rowOff>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9340453" y="10400109"/>
          <a:ext cx="3387328" cy="392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160735</xdr:colOff>
      <xdr:row>68</xdr:row>
      <xdr:rowOff>107156</xdr:rowOff>
    </xdr:from>
    <xdr:to>
      <xdr:col>27</xdr:col>
      <xdr:colOff>416719</xdr:colOff>
      <xdr:row>70</xdr:row>
      <xdr:rowOff>23813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9316641" y="11281172"/>
          <a:ext cx="3375422" cy="220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160735</xdr:colOff>
      <xdr:row>73</xdr:row>
      <xdr:rowOff>11904</xdr:rowOff>
    </xdr:from>
    <xdr:to>
      <xdr:col>27</xdr:col>
      <xdr:colOff>446484</xdr:colOff>
      <xdr:row>74</xdr:row>
      <xdr:rowOff>190499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9316641" y="12019358"/>
          <a:ext cx="3405187" cy="255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166688</xdr:colOff>
      <xdr:row>11</xdr:row>
      <xdr:rowOff>47623</xdr:rowOff>
    </xdr:from>
    <xdr:to>
      <xdr:col>26</xdr:col>
      <xdr:colOff>309563</xdr:colOff>
      <xdr:row>14</xdr:row>
      <xdr:rowOff>125015</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9322594" y="2375296"/>
          <a:ext cx="2857500" cy="607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r>
            <a:rPr lang="en-US" sz="1100" baseline="0"/>
            <a:t>         7                  1050</a:t>
          </a:r>
        </a:p>
        <a:p>
          <a:r>
            <a:rPr lang="en-US" sz="1100" baseline="0"/>
            <a:t>            8                  1200</a:t>
          </a:r>
        </a:p>
        <a:p>
          <a:r>
            <a:rPr lang="en-US" sz="1100" baseline="0"/>
            <a:t>            9                  1350</a:t>
          </a:r>
          <a:endParaRPr lang="en-US" sz="1100"/>
        </a:p>
      </xdr:txBody>
    </xdr:sp>
    <xdr:clientData/>
  </xdr:twoCellAnchor>
  <xdr:twoCellAnchor>
    <xdr:from>
      <xdr:col>23</xdr:col>
      <xdr:colOff>386953</xdr:colOff>
      <xdr:row>4</xdr:row>
      <xdr:rowOff>53578</xdr:rowOff>
    </xdr:from>
    <xdr:to>
      <xdr:col>26</xdr:col>
      <xdr:colOff>291703</xdr:colOff>
      <xdr:row>14</xdr:row>
      <xdr:rowOff>130969</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0781109" y="1244203"/>
          <a:ext cx="1381125" cy="1744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20</xdr:col>
      <xdr:colOff>166688</xdr:colOff>
      <xdr:row>13</xdr:row>
      <xdr:rowOff>125016</xdr:rowOff>
    </xdr:from>
    <xdr:to>
      <xdr:col>23</xdr:col>
      <xdr:colOff>404813</xdr:colOff>
      <xdr:row>13</xdr:row>
      <xdr:rowOff>136923</xdr:rowOff>
    </xdr:to>
    <xdr:cxnSp macro="">
      <xdr:nvCxnSpPr>
        <xdr:cNvPr id="12" name="Straight Connector 11">
          <a:extLst>
            <a:ext uri="{FF2B5EF4-FFF2-40B4-BE49-F238E27FC236}">
              <a16:creationId xmlns:a16="http://schemas.microsoft.com/office/drawing/2014/main" id="{00000000-0008-0000-0200-00000C000000}"/>
            </a:ext>
          </a:extLst>
        </xdr:cNvPr>
        <xdr:cNvCxnSpPr/>
      </xdr:nvCxnSpPr>
      <xdr:spPr>
        <a:xfrm>
          <a:off x="9322594" y="2756297"/>
          <a:ext cx="1476375" cy="119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122635</xdr:colOff>
      <xdr:row>12</xdr:row>
      <xdr:rowOff>170259</xdr:rowOff>
    </xdr:from>
    <xdr:to>
      <xdr:col>23</xdr:col>
      <xdr:colOff>360760</xdr:colOff>
      <xdr:row>12</xdr:row>
      <xdr:rowOff>182166</xdr:rowOff>
    </xdr:to>
    <xdr:cxnSp macro="">
      <xdr:nvCxnSpPr>
        <xdr:cNvPr id="29" name="Straight Connector 28">
          <a:extLst>
            <a:ext uri="{FF2B5EF4-FFF2-40B4-BE49-F238E27FC236}">
              <a16:creationId xmlns:a16="http://schemas.microsoft.com/office/drawing/2014/main" id="{00000000-0008-0000-0200-00001D000000}"/>
            </a:ext>
          </a:extLst>
        </xdr:cNvPr>
        <xdr:cNvCxnSpPr/>
      </xdr:nvCxnSpPr>
      <xdr:spPr>
        <a:xfrm>
          <a:off x="9278541" y="2575322"/>
          <a:ext cx="1476375" cy="119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220266</xdr:colOff>
      <xdr:row>11</xdr:row>
      <xdr:rowOff>23811</xdr:rowOff>
    </xdr:from>
    <xdr:to>
      <xdr:col>22</xdr:col>
      <xdr:colOff>226219</xdr:colOff>
      <xdr:row>14</xdr:row>
      <xdr:rowOff>107156</xdr:rowOff>
    </xdr:to>
    <xdr:cxnSp macro="">
      <xdr:nvCxnSpPr>
        <xdr:cNvPr id="14" name="Straight Connector 13">
          <a:extLst>
            <a:ext uri="{FF2B5EF4-FFF2-40B4-BE49-F238E27FC236}">
              <a16:creationId xmlns:a16="http://schemas.microsoft.com/office/drawing/2014/main" id="{00000000-0008-0000-0200-00000E000000}"/>
            </a:ext>
          </a:extLst>
        </xdr:cNvPr>
        <xdr:cNvCxnSpPr/>
      </xdr:nvCxnSpPr>
      <xdr:spPr>
        <a:xfrm>
          <a:off x="10328672" y="2351484"/>
          <a:ext cx="5953" cy="6131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172641</xdr:colOff>
      <xdr:row>16</xdr:row>
      <xdr:rowOff>202406</xdr:rowOff>
    </xdr:from>
    <xdr:to>
      <xdr:col>28</xdr:col>
      <xdr:colOff>642938</xdr:colOff>
      <xdr:row>18</xdr:row>
      <xdr:rowOff>95251</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2043172" y="3363516"/>
          <a:ext cx="2280047" cy="196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multiple compartments</a:t>
          </a:r>
          <a:r>
            <a:rPr lang="en-US" sz="1100" baseline="0"/>
            <a:t> or tanks</a:t>
          </a:r>
          <a:endParaRPr lang="en-US" sz="1100"/>
        </a:p>
      </xdr:txBody>
    </xdr:sp>
    <xdr:clientData/>
  </xdr:twoCellAnchor>
  <xdr:twoCellAnchor>
    <xdr:from>
      <xdr:col>28</xdr:col>
      <xdr:colOff>208360</xdr:colOff>
      <xdr:row>16</xdr:row>
      <xdr:rowOff>5953</xdr:rowOff>
    </xdr:from>
    <xdr:to>
      <xdr:col>28</xdr:col>
      <xdr:colOff>642938</xdr:colOff>
      <xdr:row>16</xdr:row>
      <xdr:rowOff>196453</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3888641" y="3167063"/>
          <a:ext cx="434578"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27</xdr:col>
      <xdr:colOff>190500</xdr:colOff>
      <xdr:row>26</xdr:row>
      <xdr:rowOff>5953</xdr:rowOff>
    </xdr:from>
    <xdr:to>
      <xdr:col>28</xdr:col>
      <xdr:colOff>0</xdr:colOff>
      <xdr:row>38</xdr:row>
      <xdr:rowOff>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2465844" y="4833938"/>
          <a:ext cx="1214437"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29</xdr:col>
      <xdr:colOff>95250</xdr:colOff>
      <xdr:row>0</xdr:row>
      <xdr:rowOff>0</xdr:rowOff>
    </xdr:from>
    <xdr:to>
      <xdr:col>35</xdr:col>
      <xdr:colOff>161925</xdr:colOff>
      <xdr:row>0</xdr:row>
      <xdr:rowOff>790575</xdr:rowOff>
    </xdr:to>
    <xdr:pic>
      <xdr:nvPicPr>
        <xdr:cNvPr id="2920035" name="Picture 2" descr="ostp logo PANTONE 328.tif">
          <a:extLst>
            <a:ext uri="{FF2B5EF4-FFF2-40B4-BE49-F238E27FC236}">
              <a16:creationId xmlns:a16="http://schemas.microsoft.com/office/drawing/2014/main" id="{00000000-0008-0000-0300-0000638E2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50" y="0"/>
          <a:ext cx="1152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0</xdr:colOff>
      <xdr:row>0</xdr:row>
      <xdr:rowOff>438150</xdr:rowOff>
    </xdr:to>
    <xdr:pic>
      <xdr:nvPicPr>
        <xdr:cNvPr id="2920036" name="Picture 3" descr="Cwdmk.tif">
          <a:extLst>
            <a:ext uri="{FF2B5EF4-FFF2-40B4-BE49-F238E27FC236}">
              <a16:creationId xmlns:a16="http://schemas.microsoft.com/office/drawing/2014/main" id="{00000000-0008-0000-0300-0000648E2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47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38</xdr:row>
          <xdr:rowOff>0</xdr:rowOff>
        </xdr:from>
        <xdr:to>
          <xdr:col>12</xdr:col>
          <xdr:colOff>171450</xdr:colOff>
          <xdr:row>39</xdr:row>
          <xdr:rowOff>28575</xdr:rowOff>
        </xdr:to>
        <xdr:sp macro="" textlink="">
          <xdr:nvSpPr>
            <xdr:cNvPr id="2550646" name="Check Box 1910" hidden="1">
              <a:extLst>
                <a:ext uri="{63B3BB69-23CF-44E3-9099-C40C66FF867C}">
                  <a14:compatExt spid="_x0000_s2550646"/>
                </a:ext>
                <a:ext uri="{FF2B5EF4-FFF2-40B4-BE49-F238E27FC236}">
                  <a16:creationId xmlns:a16="http://schemas.microsoft.com/office/drawing/2014/main" id="{00000000-0008-0000-0300-000076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Lot Dimensions/Property Lines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57150</xdr:rowOff>
        </xdr:from>
        <xdr:to>
          <xdr:col>12</xdr:col>
          <xdr:colOff>171450</xdr:colOff>
          <xdr:row>40</xdr:row>
          <xdr:rowOff>85725</xdr:rowOff>
        </xdr:to>
        <xdr:sp macro="" textlink="">
          <xdr:nvSpPr>
            <xdr:cNvPr id="2550647" name="Check Box 1911" hidden="1">
              <a:extLst>
                <a:ext uri="{63B3BB69-23CF-44E3-9099-C40C66FF867C}">
                  <a14:compatExt spid="_x0000_s2550647"/>
                </a:ext>
                <a:ext uri="{FF2B5EF4-FFF2-40B4-BE49-F238E27FC236}">
                  <a16:creationId xmlns:a16="http://schemas.microsoft.com/office/drawing/2014/main" id="{00000000-0008-0000-0300-000077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Dwellings and Other Improvements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114300</xdr:rowOff>
        </xdr:from>
        <xdr:to>
          <xdr:col>12</xdr:col>
          <xdr:colOff>171450</xdr:colOff>
          <xdr:row>41</xdr:row>
          <xdr:rowOff>142875</xdr:rowOff>
        </xdr:to>
        <xdr:sp macro="" textlink="">
          <xdr:nvSpPr>
            <xdr:cNvPr id="2550648" name="Check Box 1912" hidden="1">
              <a:extLst>
                <a:ext uri="{63B3BB69-23CF-44E3-9099-C40C66FF867C}">
                  <a14:compatExt spid="_x0000_s2550648"/>
                </a:ext>
                <a:ext uri="{FF2B5EF4-FFF2-40B4-BE49-F238E27FC236}">
                  <a16:creationId xmlns:a16="http://schemas.microsoft.com/office/drawing/2014/main" id="{00000000-0008-0000-0300-000078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Existing or Proposed System(s)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171450</xdr:rowOff>
        </xdr:from>
        <xdr:to>
          <xdr:col>12</xdr:col>
          <xdr:colOff>171450</xdr:colOff>
          <xdr:row>43</xdr:row>
          <xdr:rowOff>9525</xdr:rowOff>
        </xdr:to>
        <xdr:sp macro="" textlink="">
          <xdr:nvSpPr>
            <xdr:cNvPr id="2550649" name="Check Box 1913" hidden="1">
              <a:extLst>
                <a:ext uri="{63B3BB69-23CF-44E3-9099-C40C66FF867C}">
                  <a14:compatExt spid="_x0000_s2550649"/>
                </a:ext>
                <a:ext uri="{FF2B5EF4-FFF2-40B4-BE49-F238E27FC236}">
                  <a16:creationId xmlns:a16="http://schemas.microsoft.com/office/drawing/2014/main" id="{00000000-0008-0000-0300-000079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Replacement Area</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43</xdr:row>
          <xdr:rowOff>38100</xdr:rowOff>
        </xdr:from>
        <xdr:to>
          <xdr:col>12</xdr:col>
          <xdr:colOff>171450</xdr:colOff>
          <xdr:row>44</xdr:row>
          <xdr:rowOff>66675</xdr:rowOff>
        </xdr:to>
        <xdr:sp macro="" textlink="">
          <xdr:nvSpPr>
            <xdr:cNvPr id="2550650" name="Check Box 1914" hidden="1">
              <a:extLst>
                <a:ext uri="{63B3BB69-23CF-44E3-9099-C40C66FF867C}">
                  <a14:compatExt spid="_x0000_s2550650"/>
                </a:ext>
                <a:ext uri="{FF2B5EF4-FFF2-40B4-BE49-F238E27FC236}">
                  <a16:creationId xmlns:a16="http://schemas.microsoft.com/office/drawing/2014/main" id="{00000000-0008-0000-0300-00007A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Unsuitable Area(s)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44</xdr:row>
          <xdr:rowOff>95250</xdr:rowOff>
        </xdr:from>
        <xdr:to>
          <xdr:col>12</xdr:col>
          <xdr:colOff>171450</xdr:colOff>
          <xdr:row>45</xdr:row>
          <xdr:rowOff>123825</xdr:rowOff>
        </xdr:to>
        <xdr:sp macro="" textlink="">
          <xdr:nvSpPr>
            <xdr:cNvPr id="2550651" name="Check Box 1915" hidden="1">
              <a:extLst>
                <a:ext uri="{63B3BB69-23CF-44E3-9099-C40C66FF867C}">
                  <a14:compatExt spid="_x0000_s2550651"/>
                </a:ext>
                <a:ext uri="{FF2B5EF4-FFF2-40B4-BE49-F238E27FC236}">
                  <a16:creationId xmlns:a16="http://schemas.microsoft.com/office/drawing/2014/main" id="{00000000-0008-0000-0300-00007B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Public Water Supply Wells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45</xdr:row>
          <xdr:rowOff>152400</xdr:rowOff>
        </xdr:from>
        <xdr:to>
          <xdr:col>12</xdr:col>
          <xdr:colOff>171450</xdr:colOff>
          <xdr:row>46</xdr:row>
          <xdr:rowOff>180975</xdr:rowOff>
        </xdr:to>
        <xdr:sp macro="" textlink="">
          <xdr:nvSpPr>
            <xdr:cNvPr id="2550652" name="Check Box 1916" hidden="1">
              <a:extLst>
                <a:ext uri="{63B3BB69-23CF-44E3-9099-C40C66FF867C}">
                  <a14:compatExt spid="_x0000_s2550652"/>
                </a:ext>
                <a:ext uri="{FF2B5EF4-FFF2-40B4-BE49-F238E27FC236}">
                  <a16:creationId xmlns:a16="http://schemas.microsoft.com/office/drawing/2014/main" id="{00000000-0008-0000-0300-00007C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Pumping Access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47</xdr:row>
          <xdr:rowOff>19050</xdr:rowOff>
        </xdr:from>
        <xdr:to>
          <xdr:col>12</xdr:col>
          <xdr:colOff>171450</xdr:colOff>
          <xdr:row>48</xdr:row>
          <xdr:rowOff>47625</xdr:rowOff>
        </xdr:to>
        <xdr:sp macro="" textlink="">
          <xdr:nvSpPr>
            <xdr:cNvPr id="2550653" name="Check Box 1917" hidden="1">
              <a:extLst>
                <a:ext uri="{63B3BB69-23CF-44E3-9099-C40C66FF867C}">
                  <a14:compatExt spid="_x0000_s2550653"/>
                </a:ext>
                <a:ext uri="{FF2B5EF4-FFF2-40B4-BE49-F238E27FC236}">
                  <a16:creationId xmlns:a16="http://schemas.microsoft.com/office/drawing/2014/main" id="{00000000-0008-0000-0300-00007D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Inner Wellhead Zone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38</xdr:row>
          <xdr:rowOff>47625</xdr:rowOff>
        </xdr:from>
        <xdr:to>
          <xdr:col>22</xdr:col>
          <xdr:colOff>171450</xdr:colOff>
          <xdr:row>39</xdr:row>
          <xdr:rowOff>76200</xdr:rowOff>
        </xdr:to>
        <xdr:sp macro="" textlink="">
          <xdr:nvSpPr>
            <xdr:cNvPr id="2550654" name="Check Box 1918" hidden="1">
              <a:extLst>
                <a:ext uri="{63B3BB69-23CF-44E3-9099-C40C66FF867C}">
                  <a14:compatExt spid="_x0000_s2550654"/>
                </a:ext>
                <a:ext uri="{FF2B5EF4-FFF2-40B4-BE49-F238E27FC236}">
                  <a16:creationId xmlns:a16="http://schemas.microsoft.com/office/drawing/2014/main" id="{00000000-0008-0000-0300-00007E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39</xdr:row>
          <xdr:rowOff>104775</xdr:rowOff>
        </xdr:from>
        <xdr:to>
          <xdr:col>23</xdr:col>
          <xdr:colOff>9525</xdr:colOff>
          <xdr:row>40</xdr:row>
          <xdr:rowOff>133350</xdr:rowOff>
        </xdr:to>
        <xdr:sp macro="" textlink="">
          <xdr:nvSpPr>
            <xdr:cNvPr id="2550655" name="Check Box 1919" hidden="1">
              <a:extLst>
                <a:ext uri="{63B3BB69-23CF-44E3-9099-C40C66FF867C}">
                  <a14:compatExt spid="_x0000_s2550655"/>
                </a:ext>
                <a:ext uri="{FF2B5EF4-FFF2-40B4-BE49-F238E27FC236}">
                  <a16:creationId xmlns:a16="http://schemas.microsoft.com/office/drawing/2014/main" id="{00000000-0008-0000-0300-00007F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40</xdr:row>
          <xdr:rowOff>161925</xdr:rowOff>
        </xdr:from>
        <xdr:to>
          <xdr:col>22</xdr:col>
          <xdr:colOff>171450</xdr:colOff>
          <xdr:row>42</xdr:row>
          <xdr:rowOff>0</xdr:rowOff>
        </xdr:to>
        <xdr:sp macro="" textlink="">
          <xdr:nvSpPr>
            <xdr:cNvPr id="2550656" name="Check Box 1920" hidden="1">
              <a:extLst>
                <a:ext uri="{63B3BB69-23CF-44E3-9099-C40C66FF867C}">
                  <a14:compatExt spid="_x0000_s2550656"/>
                </a:ext>
                <a:ext uri="{FF2B5EF4-FFF2-40B4-BE49-F238E27FC236}">
                  <a16:creationId xmlns:a16="http://schemas.microsoft.com/office/drawing/2014/main" id="{00000000-0008-0000-0300-000080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47625</xdr:rowOff>
        </xdr:from>
        <xdr:to>
          <xdr:col>23</xdr:col>
          <xdr:colOff>161925</xdr:colOff>
          <xdr:row>44</xdr:row>
          <xdr:rowOff>76200</xdr:rowOff>
        </xdr:to>
        <xdr:sp macro="" textlink="">
          <xdr:nvSpPr>
            <xdr:cNvPr id="2550657" name="Check Box 1921" hidden="1">
              <a:extLst>
                <a:ext uri="{63B3BB69-23CF-44E3-9099-C40C66FF867C}">
                  <a14:compatExt spid="_x0000_s2550657"/>
                </a:ext>
                <a:ext uri="{FF2B5EF4-FFF2-40B4-BE49-F238E27FC236}">
                  <a16:creationId xmlns:a16="http://schemas.microsoft.com/office/drawing/2014/main" id="{00000000-0008-0000-0300-000081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Benchmark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104775</xdr:rowOff>
        </xdr:from>
        <xdr:to>
          <xdr:col>27</xdr:col>
          <xdr:colOff>0</xdr:colOff>
          <xdr:row>45</xdr:row>
          <xdr:rowOff>133350</xdr:rowOff>
        </xdr:to>
        <xdr:sp macro="" textlink="">
          <xdr:nvSpPr>
            <xdr:cNvPr id="2550658" name="Check Box 1922" hidden="1">
              <a:extLst>
                <a:ext uri="{63B3BB69-23CF-44E3-9099-C40C66FF867C}">
                  <a14:compatExt spid="_x0000_s2550658"/>
                </a:ext>
                <a:ext uri="{FF2B5EF4-FFF2-40B4-BE49-F238E27FC236}">
                  <a16:creationId xmlns:a16="http://schemas.microsoft.com/office/drawing/2014/main" id="{00000000-0008-0000-0300-000082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Borings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45</xdr:row>
          <xdr:rowOff>161925</xdr:rowOff>
        </xdr:from>
        <xdr:to>
          <xdr:col>27</xdr:col>
          <xdr:colOff>0</xdr:colOff>
          <xdr:row>47</xdr:row>
          <xdr:rowOff>0</xdr:rowOff>
        </xdr:to>
        <xdr:sp macro="" textlink="">
          <xdr:nvSpPr>
            <xdr:cNvPr id="2550659" name="Check Box 1923" hidden="1">
              <a:extLst>
                <a:ext uri="{63B3BB69-23CF-44E3-9099-C40C66FF867C}">
                  <a14:compatExt spid="_x0000_s2550659"/>
                </a:ext>
                <a:ext uri="{FF2B5EF4-FFF2-40B4-BE49-F238E27FC236}">
                  <a16:creationId xmlns:a16="http://schemas.microsoft.com/office/drawing/2014/main" id="{00000000-0008-0000-0300-000083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Perc Tests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47</xdr:row>
          <xdr:rowOff>28575</xdr:rowOff>
        </xdr:from>
        <xdr:to>
          <xdr:col>25</xdr:col>
          <xdr:colOff>104775</xdr:colOff>
          <xdr:row>48</xdr:row>
          <xdr:rowOff>57150</xdr:rowOff>
        </xdr:to>
        <xdr:sp macro="" textlink="">
          <xdr:nvSpPr>
            <xdr:cNvPr id="2550660" name="Check Box 1924" hidden="1">
              <a:extLst>
                <a:ext uri="{63B3BB69-23CF-44E3-9099-C40C66FF867C}">
                  <a14:compatExt spid="_x0000_s2550660"/>
                </a:ext>
                <a:ext uri="{FF2B5EF4-FFF2-40B4-BE49-F238E27FC236}">
                  <a16:creationId xmlns:a16="http://schemas.microsoft.com/office/drawing/2014/main" id="{00000000-0008-0000-0300-000084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Horizontal and Vertical Reference Points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38</xdr:row>
          <xdr:rowOff>28575</xdr:rowOff>
        </xdr:from>
        <xdr:to>
          <xdr:col>25</xdr:col>
          <xdr:colOff>66675</xdr:colOff>
          <xdr:row>39</xdr:row>
          <xdr:rowOff>57150</xdr:rowOff>
        </xdr:to>
        <xdr:sp macro="" textlink="">
          <xdr:nvSpPr>
            <xdr:cNvPr id="2550661" name="Check Box 1925" hidden="1">
              <a:extLst>
                <a:ext uri="{63B3BB69-23CF-44E3-9099-C40C66FF867C}">
                  <a14:compatExt spid="_x0000_s2550661"/>
                </a:ext>
                <a:ext uri="{FF2B5EF4-FFF2-40B4-BE49-F238E27FC236}">
                  <a16:creationId xmlns:a16="http://schemas.microsoft.com/office/drawing/2014/main" id="{00000000-0008-0000-0300-000085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Building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39</xdr:row>
          <xdr:rowOff>85725</xdr:rowOff>
        </xdr:from>
        <xdr:to>
          <xdr:col>34</xdr:col>
          <xdr:colOff>19050</xdr:colOff>
          <xdr:row>40</xdr:row>
          <xdr:rowOff>114300</xdr:rowOff>
        </xdr:to>
        <xdr:sp macro="" textlink="">
          <xdr:nvSpPr>
            <xdr:cNvPr id="2550662" name="Check Box 1926" hidden="1">
              <a:extLst>
                <a:ext uri="{63B3BB69-23CF-44E3-9099-C40C66FF867C}">
                  <a14:compatExt spid="_x0000_s2550662"/>
                </a:ext>
                <a:ext uri="{FF2B5EF4-FFF2-40B4-BE49-F238E27FC236}">
                  <a16:creationId xmlns:a16="http://schemas.microsoft.com/office/drawing/2014/main" id="{00000000-0008-0000-0300-000086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water wells within 100 feet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40</xdr:row>
          <xdr:rowOff>142875</xdr:rowOff>
        </xdr:from>
        <xdr:to>
          <xdr:col>34</xdr:col>
          <xdr:colOff>19050</xdr:colOff>
          <xdr:row>41</xdr:row>
          <xdr:rowOff>171450</xdr:rowOff>
        </xdr:to>
        <xdr:sp macro="" textlink="">
          <xdr:nvSpPr>
            <xdr:cNvPr id="2550663" name="Check Box 1927" hidden="1">
              <a:extLst>
                <a:ext uri="{63B3BB69-23CF-44E3-9099-C40C66FF867C}">
                  <a14:compatExt spid="_x0000_s2550663"/>
                </a:ext>
                <a:ext uri="{FF2B5EF4-FFF2-40B4-BE49-F238E27FC236}">
                  <a16:creationId xmlns:a16="http://schemas.microsoft.com/office/drawing/2014/main" id="{00000000-0008-0000-0300-000087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Pressure Pipe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42</xdr:row>
          <xdr:rowOff>9525</xdr:rowOff>
        </xdr:from>
        <xdr:to>
          <xdr:col>34</xdr:col>
          <xdr:colOff>19050</xdr:colOff>
          <xdr:row>43</xdr:row>
          <xdr:rowOff>38100</xdr:rowOff>
        </xdr:to>
        <xdr:sp macro="" textlink="">
          <xdr:nvSpPr>
            <xdr:cNvPr id="2550664" name="Check Box 1928" hidden="1">
              <a:extLst>
                <a:ext uri="{63B3BB69-23CF-44E3-9099-C40C66FF867C}">
                  <a14:compatExt spid="_x0000_s2550664"/>
                </a:ext>
                <a:ext uri="{FF2B5EF4-FFF2-40B4-BE49-F238E27FC236}">
                  <a16:creationId xmlns:a16="http://schemas.microsoft.com/office/drawing/2014/main" id="{00000000-0008-0000-0300-000088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Water Suction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43</xdr:row>
          <xdr:rowOff>57150</xdr:rowOff>
        </xdr:from>
        <xdr:to>
          <xdr:col>34</xdr:col>
          <xdr:colOff>19050</xdr:colOff>
          <xdr:row>44</xdr:row>
          <xdr:rowOff>85725</xdr:rowOff>
        </xdr:to>
        <xdr:sp macro="" textlink="">
          <xdr:nvSpPr>
            <xdr:cNvPr id="2550665" name="Check Box 1929" hidden="1">
              <a:extLst>
                <a:ext uri="{63B3BB69-23CF-44E3-9099-C40C66FF867C}">
                  <a14:compatExt spid="_x0000_s2550665"/>
                </a:ext>
                <a:ext uri="{FF2B5EF4-FFF2-40B4-BE49-F238E27FC236}">
                  <a16:creationId xmlns:a16="http://schemas.microsoft.com/office/drawing/2014/main" id="{00000000-0008-0000-0300-000089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Streams, Lakes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44</xdr:row>
          <xdr:rowOff>123825</xdr:rowOff>
        </xdr:from>
        <xdr:to>
          <xdr:col>34</xdr:col>
          <xdr:colOff>19050</xdr:colOff>
          <xdr:row>45</xdr:row>
          <xdr:rowOff>152400</xdr:rowOff>
        </xdr:to>
        <xdr:sp macro="" textlink="">
          <xdr:nvSpPr>
            <xdr:cNvPr id="2550666" name="Check Box 1930" hidden="1">
              <a:extLst>
                <a:ext uri="{63B3BB69-23CF-44E3-9099-C40C66FF867C}">
                  <a14:compatExt spid="_x0000_s2550666"/>
                </a:ext>
                <a:ext uri="{FF2B5EF4-FFF2-40B4-BE49-F238E27FC236}">
                  <a16:creationId xmlns:a16="http://schemas.microsoft.com/office/drawing/2014/main" id="{00000000-0008-0000-0300-00008AEB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Floodway and Fringe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13</xdr:col>
      <xdr:colOff>38100</xdr:colOff>
      <xdr:row>24</xdr:row>
      <xdr:rowOff>171450</xdr:rowOff>
    </xdr:from>
    <xdr:to>
      <xdr:col>18</xdr:col>
      <xdr:colOff>9525</xdr:colOff>
      <xdr:row>33</xdr:row>
      <xdr:rowOff>0</xdr:rowOff>
    </xdr:to>
    <xdr:pic>
      <xdr:nvPicPr>
        <xdr:cNvPr id="2992307" name="Picture 66">
          <a:extLst>
            <a:ext uri="{FF2B5EF4-FFF2-40B4-BE49-F238E27FC236}">
              <a16:creationId xmlns:a16="http://schemas.microsoft.com/office/drawing/2014/main" id="{00000000-0008-0000-0400-0000B3A8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0100" y="4686300"/>
          <a:ext cx="195262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57150</xdr:rowOff>
    </xdr:from>
    <xdr:to>
      <xdr:col>4</xdr:col>
      <xdr:colOff>76200</xdr:colOff>
      <xdr:row>0</xdr:row>
      <xdr:rowOff>790575</xdr:rowOff>
    </xdr:to>
    <xdr:pic>
      <xdr:nvPicPr>
        <xdr:cNvPr id="2992308" name="Picture 100" descr="mpca-center-4c">
          <a:extLst>
            <a:ext uri="{FF2B5EF4-FFF2-40B4-BE49-F238E27FC236}">
              <a16:creationId xmlns:a16="http://schemas.microsoft.com/office/drawing/2014/main" id="{00000000-0008-0000-0400-0000B4A8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57150"/>
          <a:ext cx="1200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361950</xdr:colOff>
      <xdr:row>0</xdr:row>
      <xdr:rowOff>323850</xdr:rowOff>
    </xdr:from>
    <xdr:to>
      <xdr:col>15</xdr:col>
      <xdr:colOff>361950</xdr:colOff>
      <xdr:row>0</xdr:row>
      <xdr:rowOff>676275</xdr:rowOff>
    </xdr:to>
    <xdr:pic>
      <xdr:nvPicPr>
        <xdr:cNvPr id="2992309" name="Picture 4" descr="Cwdmk.tif">
          <a:extLst>
            <a:ext uri="{FF2B5EF4-FFF2-40B4-BE49-F238E27FC236}">
              <a16:creationId xmlns:a16="http://schemas.microsoft.com/office/drawing/2014/main" id="{00000000-0008-0000-0400-0000B5A82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52950" y="323850"/>
          <a:ext cx="1143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38100</xdr:colOff>
      <xdr:row>0</xdr:row>
      <xdr:rowOff>228600</xdr:rowOff>
    </xdr:from>
    <xdr:to>
      <xdr:col>18</xdr:col>
      <xdr:colOff>114300</xdr:colOff>
      <xdr:row>0</xdr:row>
      <xdr:rowOff>781050</xdr:rowOff>
    </xdr:to>
    <xdr:pic>
      <xdr:nvPicPr>
        <xdr:cNvPr id="2992310" name="Picture 5" descr="ostp logo PANTONE 328.tif">
          <a:extLst>
            <a:ext uri="{FF2B5EF4-FFF2-40B4-BE49-F238E27FC236}">
              <a16:creationId xmlns:a16="http://schemas.microsoft.com/office/drawing/2014/main" id="{00000000-0008-0000-0400-0000B6A82D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53100" y="228600"/>
          <a:ext cx="914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228600</xdr:colOff>
          <xdr:row>12</xdr:row>
          <xdr:rowOff>47625</xdr:rowOff>
        </xdr:from>
        <xdr:to>
          <xdr:col>9</xdr:col>
          <xdr:colOff>76200</xdr:colOff>
          <xdr:row>14</xdr:row>
          <xdr:rowOff>9525</xdr:rowOff>
        </xdr:to>
        <xdr:sp macro="" textlink="">
          <xdr:nvSpPr>
            <xdr:cNvPr id="2019329" name="CheckBox1" hidden="1">
              <a:extLst>
                <a:ext uri="{63B3BB69-23CF-44E3-9099-C40C66FF867C}">
                  <a14:compatExt spid="_x0000_s2019329"/>
                </a:ext>
                <a:ext uri="{FF2B5EF4-FFF2-40B4-BE49-F238E27FC236}">
                  <a16:creationId xmlns:a16="http://schemas.microsoft.com/office/drawing/2014/main" id="{00000000-0008-0000-0400-000001D0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14</xdr:row>
          <xdr:rowOff>9525</xdr:rowOff>
        </xdr:from>
        <xdr:to>
          <xdr:col>10</xdr:col>
          <xdr:colOff>247650</xdr:colOff>
          <xdr:row>15</xdr:row>
          <xdr:rowOff>38100</xdr:rowOff>
        </xdr:to>
        <xdr:sp macro="" textlink="">
          <xdr:nvSpPr>
            <xdr:cNvPr id="2019330" name="CheckBox5" hidden="1">
              <a:extLst>
                <a:ext uri="{63B3BB69-23CF-44E3-9099-C40C66FF867C}">
                  <a14:compatExt spid="_x0000_s2019330"/>
                </a:ext>
                <a:ext uri="{FF2B5EF4-FFF2-40B4-BE49-F238E27FC236}">
                  <a16:creationId xmlns:a16="http://schemas.microsoft.com/office/drawing/2014/main" id="{00000000-0008-0000-0400-000002D0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38100</xdr:rowOff>
        </xdr:from>
        <xdr:to>
          <xdr:col>8</xdr:col>
          <xdr:colOff>285750</xdr:colOff>
          <xdr:row>17</xdr:row>
          <xdr:rowOff>9525</xdr:rowOff>
        </xdr:to>
        <xdr:sp macro="" textlink="">
          <xdr:nvSpPr>
            <xdr:cNvPr id="2019331" name="CheckBox6" hidden="1">
              <a:extLst>
                <a:ext uri="{63B3BB69-23CF-44E3-9099-C40C66FF867C}">
                  <a14:compatExt spid="_x0000_s2019331"/>
                </a:ext>
                <a:ext uri="{FF2B5EF4-FFF2-40B4-BE49-F238E27FC236}">
                  <a16:creationId xmlns:a16="http://schemas.microsoft.com/office/drawing/2014/main" id="{00000000-0008-0000-0400-000003D0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15</xdr:row>
          <xdr:rowOff>38100</xdr:rowOff>
        </xdr:from>
        <xdr:to>
          <xdr:col>12</xdr:col>
          <xdr:colOff>323850</xdr:colOff>
          <xdr:row>17</xdr:row>
          <xdr:rowOff>0</xdr:rowOff>
        </xdr:to>
        <xdr:sp macro="" textlink="">
          <xdr:nvSpPr>
            <xdr:cNvPr id="2019332" name="CheckBox7" hidden="1">
              <a:extLst>
                <a:ext uri="{63B3BB69-23CF-44E3-9099-C40C66FF867C}">
                  <a14:compatExt spid="_x0000_s2019332"/>
                </a:ext>
                <a:ext uri="{FF2B5EF4-FFF2-40B4-BE49-F238E27FC236}">
                  <a16:creationId xmlns:a16="http://schemas.microsoft.com/office/drawing/2014/main" id="{00000000-0008-0000-0400-000004D0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17</xdr:row>
          <xdr:rowOff>9525</xdr:rowOff>
        </xdr:from>
        <xdr:to>
          <xdr:col>11</xdr:col>
          <xdr:colOff>295275</xdr:colOff>
          <xdr:row>18</xdr:row>
          <xdr:rowOff>38100</xdr:rowOff>
        </xdr:to>
        <xdr:sp macro="" textlink="">
          <xdr:nvSpPr>
            <xdr:cNvPr id="2019333" name="CheckBox8" hidden="1">
              <a:extLst>
                <a:ext uri="{63B3BB69-23CF-44E3-9099-C40C66FF867C}">
                  <a14:compatExt spid="_x0000_s2019333"/>
                </a:ext>
                <a:ext uri="{FF2B5EF4-FFF2-40B4-BE49-F238E27FC236}">
                  <a16:creationId xmlns:a16="http://schemas.microsoft.com/office/drawing/2014/main" id="{00000000-0008-0000-0400-000005D0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0</xdr:rowOff>
    </xdr:from>
    <xdr:to>
      <xdr:col>4</xdr:col>
      <xdr:colOff>76200</xdr:colOff>
      <xdr:row>0</xdr:row>
      <xdr:rowOff>790575</xdr:rowOff>
    </xdr:to>
    <xdr:pic>
      <xdr:nvPicPr>
        <xdr:cNvPr id="2963843" name="Picture 100" descr="mpca-center-4c">
          <a:extLst>
            <a:ext uri="{FF2B5EF4-FFF2-40B4-BE49-F238E27FC236}">
              <a16:creationId xmlns:a16="http://schemas.microsoft.com/office/drawing/2014/main" id="{00000000-0008-0000-0500-00008339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200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361950</xdr:colOff>
      <xdr:row>0</xdr:row>
      <xdr:rowOff>323850</xdr:rowOff>
    </xdr:from>
    <xdr:to>
      <xdr:col>15</xdr:col>
      <xdr:colOff>361950</xdr:colOff>
      <xdr:row>0</xdr:row>
      <xdr:rowOff>676275</xdr:rowOff>
    </xdr:to>
    <xdr:pic>
      <xdr:nvPicPr>
        <xdr:cNvPr id="2963844" name="Picture 4" descr="Cwdmk.tif">
          <a:extLst>
            <a:ext uri="{FF2B5EF4-FFF2-40B4-BE49-F238E27FC236}">
              <a16:creationId xmlns:a16="http://schemas.microsoft.com/office/drawing/2014/main" id="{00000000-0008-0000-0500-000084392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52950" y="323850"/>
          <a:ext cx="1143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38100</xdr:colOff>
      <xdr:row>0</xdr:row>
      <xdr:rowOff>228600</xdr:rowOff>
    </xdr:from>
    <xdr:to>
      <xdr:col>18</xdr:col>
      <xdr:colOff>114300</xdr:colOff>
      <xdr:row>0</xdr:row>
      <xdr:rowOff>781050</xdr:rowOff>
    </xdr:to>
    <xdr:pic>
      <xdr:nvPicPr>
        <xdr:cNvPr id="2963845" name="Picture 5" descr="ostp logo PANTONE 328.tif">
          <a:extLst>
            <a:ext uri="{FF2B5EF4-FFF2-40B4-BE49-F238E27FC236}">
              <a16:creationId xmlns:a16="http://schemas.microsoft.com/office/drawing/2014/main" id="{00000000-0008-0000-0500-000085392D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228600"/>
          <a:ext cx="914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19050</xdr:colOff>
          <xdr:row>12</xdr:row>
          <xdr:rowOff>9525</xdr:rowOff>
        </xdr:from>
        <xdr:to>
          <xdr:col>8</xdr:col>
          <xdr:colOff>123825</xdr:colOff>
          <xdr:row>13</xdr:row>
          <xdr:rowOff>19050</xdr:rowOff>
        </xdr:to>
        <xdr:sp macro="" textlink="">
          <xdr:nvSpPr>
            <xdr:cNvPr id="2018305" name="CheckBox6" hidden="1">
              <a:extLst>
                <a:ext uri="{63B3BB69-23CF-44E3-9099-C40C66FF867C}">
                  <a14:compatExt spid="_x0000_s2018305"/>
                </a:ext>
                <a:ext uri="{FF2B5EF4-FFF2-40B4-BE49-F238E27FC236}">
                  <a16:creationId xmlns:a16="http://schemas.microsoft.com/office/drawing/2014/main" id="{00000000-0008-0000-0500-000001CC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0</xdr:rowOff>
        </xdr:from>
        <xdr:to>
          <xdr:col>7</xdr:col>
          <xdr:colOff>381000</xdr:colOff>
          <xdr:row>14</xdr:row>
          <xdr:rowOff>28575</xdr:rowOff>
        </xdr:to>
        <xdr:sp macro="" textlink="">
          <xdr:nvSpPr>
            <xdr:cNvPr id="2018306" name="CheckBox8" hidden="1">
              <a:extLst>
                <a:ext uri="{63B3BB69-23CF-44E3-9099-C40C66FF867C}">
                  <a14:compatExt spid="_x0000_s2018306"/>
                </a:ext>
                <a:ext uri="{FF2B5EF4-FFF2-40B4-BE49-F238E27FC236}">
                  <a16:creationId xmlns:a16="http://schemas.microsoft.com/office/drawing/2014/main" id="{00000000-0008-0000-0500-000002CC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9525</xdr:rowOff>
        </xdr:from>
        <xdr:to>
          <xdr:col>8</xdr:col>
          <xdr:colOff>38100</xdr:colOff>
          <xdr:row>15</xdr:row>
          <xdr:rowOff>190500</xdr:rowOff>
        </xdr:to>
        <xdr:sp macro="" textlink="">
          <xdr:nvSpPr>
            <xdr:cNvPr id="2018307" name="CheckBox10" hidden="1">
              <a:extLst>
                <a:ext uri="{63B3BB69-23CF-44E3-9099-C40C66FF867C}">
                  <a14:compatExt spid="_x0000_s2018307"/>
                </a:ext>
                <a:ext uri="{FF2B5EF4-FFF2-40B4-BE49-F238E27FC236}">
                  <a16:creationId xmlns:a16="http://schemas.microsoft.com/office/drawing/2014/main" id="{00000000-0008-0000-0500-000003CC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190500</xdr:rowOff>
        </xdr:from>
        <xdr:to>
          <xdr:col>8</xdr:col>
          <xdr:colOff>285750</xdr:colOff>
          <xdr:row>16</xdr:row>
          <xdr:rowOff>209550</xdr:rowOff>
        </xdr:to>
        <xdr:sp macro="" textlink="">
          <xdr:nvSpPr>
            <xdr:cNvPr id="2018308" name="CheckBox2" hidden="1">
              <a:extLst>
                <a:ext uri="{63B3BB69-23CF-44E3-9099-C40C66FF867C}">
                  <a14:compatExt spid="_x0000_s2018308"/>
                </a:ext>
                <a:ext uri="{FF2B5EF4-FFF2-40B4-BE49-F238E27FC236}">
                  <a16:creationId xmlns:a16="http://schemas.microsoft.com/office/drawing/2014/main" id="{00000000-0008-0000-0500-000004CC1E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101</xdr:row>
      <xdr:rowOff>38100</xdr:rowOff>
    </xdr:from>
    <xdr:to>
      <xdr:col>17</xdr:col>
      <xdr:colOff>276225</xdr:colOff>
      <xdr:row>122</xdr:row>
      <xdr:rowOff>152400</xdr:rowOff>
    </xdr:to>
    <xdr:pic>
      <xdr:nvPicPr>
        <xdr:cNvPr id="3003568" name="Picture 27" descr="Updated Flat mound diag#B2D">
          <a:extLst>
            <a:ext uri="{FF2B5EF4-FFF2-40B4-BE49-F238E27FC236}">
              <a16:creationId xmlns:a16="http://schemas.microsoft.com/office/drawing/2014/main" id="{00000000-0008-0000-0600-0000B0D4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6737"/>
        <a:stretch>
          <a:fillRect/>
        </a:stretch>
      </xdr:blipFill>
      <xdr:spPr bwMode="auto">
        <a:xfrm>
          <a:off x="57150" y="17811750"/>
          <a:ext cx="582930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19050</xdr:rowOff>
    </xdr:from>
    <xdr:to>
      <xdr:col>4</xdr:col>
      <xdr:colOff>47625</xdr:colOff>
      <xdr:row>0</xdr:row>
      <xdr:rowOff>809625</xdr:rowOff>
    </xdr:to>
    <xdr:pic>
      <xdr:nvPicPr>
        <xdr:cNvPr id="3003569" name="Picture 215" descr="mpca-center-4c">
          <a:extLst>
            <a:ext uri="{FF2B5EF4-FFF2-40B4-BE49-F238E27FC236}">
              <a16:creationId xmlns:a16="http://schemas.microsoft.com/office/drawing/2014/main" id="{00000000-0008-0000-0600-0000B1D4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19050"/>
          <a:ext cx="10668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14</xdr:row>
      <xdr:rowOff>19050</xdr:rowOff>
    </xdr:from>
    <xdr:to>
      <xdr:col>10</xdr:col>
      <xdr:colOff>19050</xdr:colOff>
      <xdr:row>23</xdr:row>
      <xdr:rowOff>76200</xdr:rowOff>
    </xdr:to>
    <xdr:pic>
      <xdr:nvPicPr>
        <xdr:cNvPr id="3003570" name="Picture 471">
          <a:extLst>
            <a:ext uri="{FF2B5EF4-FFF2-40B4-BE49-F238E27FC236}">
              <a16:creationId xmlns:a16="http://schemas.microsoft.com/office/drawing/2014/main" id="{00000000-0008-0000-0600-0000B2D4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556"/>
        <a:stretch>
          <a:fillRect/>
        </a:stretch>
      </xdr:blipFill>
      <xdr:spPr bwMode="auto">
        <a:xfrm>
          <a:off x="114300" y="2771775"/>
          <a:ext cx="30480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124</xdr:row>
      <xdr:rowOff>85725</xdr:rowOff>
    </xdr:from>
    <xdr:to>
      <xdr:col>17</xdr:col>
      <xdr:colOff>304800</xdr:colOff>
      <xdr:row>141</xdr:row>
      <xdr:rowOff>19050</xdr:rowOff>
    </xdr:to>
    <xdr:pic>
      <xdr:nvPicPr>
        <xdr:cNvPr id="3003571" name="Picture 28" descr="Updated Flat mound diag#B2F">
          <a:extLst>
            <a:ext uri="{FF2B5EF4-FFF2-40B4-BE49-F238E27FC236}">
              <a16:creationId xmlns:a16="http://schemas.microsoft.com/office/drawing/2014/main" id="{00000000-0008-0000-0600-0000B3D42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200" y="22136100"/>
          <a:ext cx="5838825"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180975</xdr:colOff>
      <xdr:row>0</xdr:row>
      <xdr:rowOff>228600</xdr:rowOff>
    </xdr:from>
    <xdr:to>
      <xdr:col>15</xdr:col>
      <xdr:colOff>123825</xdr:colOff>
      <xdr:row>0</xdr:row>
      <xdr:rowOff>647700</xdr:rowOff>
    </xdr:to>
    <xdr:pic>
      <xdr:nvPicPr>
        <xdr:cNvPr id="3003572" name="Picture 7" descr="Cwdmk.tif">
          <a:extLst>
            <a:ext uri="{FF2B5EF4-FFF2-40B4-BE49-F238E27FC236}">
              <a16:creationId xmlns:a16="http://schemas.microsoft.com/office/drawing/2014/main" id="{00000000-0008-0000-0600-0000B4D42D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29075" y="228600"/>
          <a:ext cx="1000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105</xdr:row>
      <xdr:rowOff>80010</xdr:rowOff>
    </xdr:from>
    <xdr:ext cx="1378923" cy="338938"/>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3249930" y="19076670"/>
          <a:ext cx="1388482" cy="33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Upslope</a:t>
          </a:r>
        </a:p>
      </xdr:txBody>
    </xdr:sp>
    <xdr:clientData/>
  </xdr:oneCellAnchor>
  <xdr:oneCellAnchor>
    <xdr:from>
      <xdr:col>10</xdr:col>
      <xdr:colOff>20955</xdr:colOff>
      <xdr:row>116</xdr:row>
      <xdr:rowOff>20955</xdr:rowOff>
    </xdr:from>
    <xdr:ext cx="1376905" cy="323707"/>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282315" y="21387435"/>
          <a:ext cx="1400174" cy="323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Downslope</a:t>
          </a:r>
        </a:p>
      </xdr:txBody>
    </xdr:sp>
    <xdr:clientData/>
  </xdr:oneCellAnchor>
  <xdr:oneCellAnchor>
    <xdr:from>
      <xdr:col>14</xdr:col>
      <xdr:colOff>108585</xdr:colOff>
      <xdr:row>108</xdr:row>
      <xdr:rowOff>158115</xdr:rowOff>
    </xdr:from>
    <xdr:ext cx="877921" cy="331235"/>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4832985" y="19726275"/>
          <a:ext cx="887443"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Endslope</a:t>
          </a:r>
        </a:p>
      </xdr:txBody>
    </xdr:sp>
    <xdr:clientData/>
  </xdr:oneCellAnchor>
  <xdr:oneCellAnchor>
    <xdr:from>
      <xdr:col>3</xdr:col>
      <xdr:colOff>146685</xdr:colOff>
      <xdr:row>108</xdr:row>
      <xdr:rowOff>161925</xdr:rowOff>
    </xdr:from>
    <xdr:ext cx="991330" cy="331235"/>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862965" y="19730085"/>
          <a:ext cx="988695"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Endslope </a:t>
          </a:r>
        </a:p>
      </xdr:txBody>
    </xdr:sp>
    <xdr:clientData/>
  </xdr:oneCellAnchor>
  <xdr:oneCellAnchor>
    <xdr:from>
      <xdr:col>0</xdr:col>
      <xdr:colOff>16311</xdr:colOff>
      <xdr:row>105</xdr:row>
      <xdr:rowOff>120851</xdr:rowOff>
    </xdr:from>
    <xdr:ext cx="327214" cy="2066926"/>
    <xdr:sp macro="" textlink="">
      <xdr:nvSpPr>
        <xdr:cNvPr id="14" name="TextBox 13">
          <a:extLst>
            <a:ext uri="{FF2B5EF4-FFF2-40B4-BE49-F238E27FC236}">
              <a16:creationId xmlns:a16="http://schemas.microsoft.com/office/drawing/2014/main" id="{00000000-0008-0000-0600-00000E000000}"/>
            </a:ext>
          </a:extLst>
        </xdr:cNvPr>
        <xdr:cNvSpPr txBox="1"/>
      </xdr:nvSpPr>
      <xdr:spPr>
        <a:xfrm rot="16200000">
          <a:off x="-853545" y="20261687"/>
          <a:ext cx="2066926" cy="327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Total  Mound Width </a:t>
          </a:r>
        </a:p>
      </xdr:txBody>
    </xdr:sp>
    <xdr:clientData/>
  </xdr:oneCellAnchor>
  <xdr:oneCellAnchor>
    <xdr:from>
      <xdr:col>6</xdr:col>
      <xdr:colOff>231340</xdr:colOff>
      <xdr:row>121</xdr:row>
      <xdr:rowOff>73462</xdr:rowOff>
    </xdr:from>
    <xdr:ext cx="2235744" cy="338938"/>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2052520" y="24564142"/>
          <a:ext cx="2267400" cy="33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t>Total  Mound Length </a:t>
          </a:r>
        </a:p>
      </xdr:txBody>
    </xdr:sp>
    <xdr:clientData/>
  </xdr:oneCellAnchor>
  <xdr:oneCellAnchor>
    <xdr:from>
      <xdr:col>7</xdr:col>
      <xdr:colOff>0</xdr:colOff>
      <xdr:row>137</xdr:row>
      <xdr:rowOff>165735</xdr:rowOff>
    </xdr:from>
    <xdr:ext cx="1727085" cy="331235"/>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2164080" y="27704415"/>
          <a:ext cx="1754000"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t>Absorption</a:t>
          </a:r>
          <a:r>
            <a:rPr lang="en-US" sz="1300" b="0" baseline="0"/>
            <a:t> Width </a:t>
          </a:r>
          <a:endParaRPr lang="en-US" sz="1300" b="0"/>
        </a:p>
      </xdr:txBody>
    </xdr:sp>
    <xdr:clientData/>
  </xdr:oneCellAnchor>
  <xdr:oneCellAnchor>
    <xdr:from>
      <xdr:col>7</xdr:col>
      <xdr:colOff>146685</xdr:colOff>
      <xdr:row>134</xdr:row>
      <xdr:rowOff>110490</xdr:rowOff>
    </xdr:from>
    <xdr:ext cx="1790721" cy="331235"/>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2310765" y="27077670"/>
          <a:ext cx="1798291"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solidFill>
                <a:srgbClr val="FF00FF"/>
              </a:solidFill>
            </a:rPr>
            <a:t>Depth to Limiting </a:t>
          </a:r>
        </a:p>
      </xdr:txBody>
    </xdr:sp>
    <xdr:clientData/>
  </xdr:oneCellAnchor>
  <xdr:oneCellAnchor>
    <xdr:from>
      <xdr:col>12</xdr:col>
      <xdr:colOff>281940</xdr:colOff>
      <xdr:row>134</xdr:row>
      <xdr:rowOff>161925</xdr:rowOff>
    </xdr:from>
    <xdr:ext cx="1412414" cy="338938"/>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4297680" y="27136725"/>
          <a:ext cx="1412414"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solidFill>
                <a:srgbClr val="FF00FF"/>
              </a:solidFill>
            </a:rPr>
            <a:t>Limiting Condition</a:t>
          </a:r>
        </a:p>
      </xdr:txBody>
    </xdr:sp>
    <xdr:clientData/>
  </xdr:oneCellAnchor>
  <xdr:oneCellAnchor>
    <xdr:from>
      <xdr:col>2</xdr:col>
      <xdr:colOff>287655</xdr:colOff>
      <xdr:row>127</xdr:row>
      <xdr:rowOff>161925</xdr:rowOff>
    </xdr:from>
    <xdr:ext cx="1687143" cy="331235"/>
    <xdr:sp macro="" textlink="">
      <xdr:nvSpPr>
        <xdr:cNvPr id="19" name="TextBox 18">
          <a:extLst>
            <a:ext uri="{FF2B5EF4-FFF2-40B4-BE49-F238E27FC236}">
              <a16:creationId xmlns:a16="http://schemas.microsoft.com/office/drawing/2014/main" id="{00000000-0008-0000-0600-000013000000}"/>
            </a:ext>
          </a:extLst>
        </xdr:cNvPr>
        <xdr:cNvSpPr txBox="1"/>
      </xdr:nvSpPr>
      <xdr:spPr>
        <a:xfrm>
          <a:off x="657225" y="20574000"/>
          <a:ext cx="1657349"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t>Upslope berm </a:t>
          </a:r>
        </a:p>
      </xdr:txBody>
    </xdr:sp>
    <xdr:clientData/>
  </xdr:oneCellAnchor>
  <xdr:oneCellAnchor>
    <xdr:from>
      <xdr:col>11</xdr:col>
      <xdr:colOff>280035</xdr:colOff>
      <xdr:row>127</xdr:row>
      <xdr:rowOff>163830</xdr:rowOff>
    </xdr:from>
    <xdr:ext cx="1764089" cy="331414"/>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4229100" y="20583525"/>
          <a:ext cx="1733549" cy="323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t>Downslope berm </a:t>
          </a:r>
        </a:p>
      </xdr:txBody>
    </xdr:sp>
    <xdr:clientData/>
  </xdr:oneCellAnchor>
  <xdr:oneCellAnchor>
    <xdr:from>
      <xdr:col>8</xdr:col>
      <xdr:colOff>251460</xdr:colOff>
      <xdr:row>132</xdr:row>
      <xdr:rowOff>89535</xdr:rowOff>
    </xdr:from>
    <xdr:ext cx="1832762" cy="331235"/>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2691765" y="23663910"/>
          <a:ext cx="1832762" cy="331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solidFill>
                <a:srgbClr val="0066FF"/>
              </a:solidFill>
            </a:rPr>
            <a:t> Clean sand lift (6.A)</a:t>
          </a:r>
        </a:p>
      </xdr:txBody>
    </xdr:sp>
    <xdr:clientData/>
  </xdr:oneCellAnchor>
  <xdr:oneCellAnchor>
    <xdr:from>
      <xdr:col>9</xdr:col>
      <xdr:colOff>213360</xdr:colOff>
      <xdr:row>125</xdr:row>
      <xdr:rowOff>114300</xdr:rowOff>
    </xdr:from>
    <xdr:ext cx="1392243" cy="283898"/>
    <xdr:sp macro="" textlink="">
      <xdr:nvSpPr>
        <xdr:cNvPr id="22" name="TextBox 21">
          <a:extLst>
            <a:ext uri="{FF2B5EF4-FFF2-40B4-BE49-F238E27FC236}">
              <a16:creationId xmlns:a16="http://schemas.microsoft.com/office/drawing/2014/main" id="{00000000-0008-0000-0600-000016000000}"/>
            </a:ext>
          </a:extLst>
        </xdr:cNvPr>
        <xdr:cNvSpPr txBox="1"/>
      </xdr:nvSpPr>
      <xdr:spPr>
        <a:xfrm>
          <a:off x="3400425" y="20145375"/>
          <a:ext cx="1366684" cy="283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t>18" cover on top</a:t>
          </a:r>
        </a:p>
      </xdr:txBody>
    </xdr:sp>
    <xdr:clientData/>
  </xdr:oneCellAnchor>
  <xdr:twoCellAnchor>
    <xdr:from>
      <xdr:col>9</xdr:col>
      <xdr:colOff>215265</xdr:colOff>
      <xdr:row>127</xdr:row>
      <xdr:rowOff>9526</xdr:rowOff>
    </xdr:from>
    <xdr:to>
      <xdr:col>10</xdr:col>
      <xdr:colOff>45930</xdr:colOff>
      <xdr:row>128</xdr:row>
      <xdr:rowOff>125866</xdr:rowOff>
    </xdr:to>
    <xdr:cxnSp macro="">
      <xdr:nvCxnSpPr>
        <xdr:cNvPr id="23" name="Curved Connector 22">
          <a:extLst>
            <a:ext uri="{FF2B5EF4-FFF2-40B4-BE49-F238E27FC236}">
              <a16:creationId xmlns:a16="http://schemas.microsoft.com/office/drawing/2014/main" id="{00000000-0008-0000-0600-000017000000}"/>
            </a:ext>
          </a:extLst>
        </xdr:cNvPr>
        <xdr:cNvCxnSpPr/>
      </xdr:nvCxnSpPr>
      <xdr:spPr>
        <a:xfrm rot="5400000">
          <a:off x="3328985" y="20464466"/>
          <a:ext cx="314324" cy="228593"/>
        </a:xfrm>
        <a:prstGeom prst="curved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184785</xdr:colOff>
      <xdr:row>124</xdr:row>
      <xdr:rowOff>85725</xdr:rowOff>
    </xdr:from>
    <xdr:ext cx="1458152" cy="268759"/>
    <xdr:sp macro="" textlink="">
      <xdr:nvSpPr>
        <xdr:cNvPr id="24" name="TextBox 23">
          <a:extLst>
            <a:ext uri="{FF2B5EF4-FFF2-40B4-BE49-F238E27FC236}">
              <a16:creationId xmlns:a16="http://schemas.microsoft.com/office/drawing/2014/main" id="{00000000-0008-0000-0600-000018000000}"/>
            </a:ext>
          </a:extLst>
        </xdr:cNvPr>
        <xdr:cNvSpPr txBox="1"/>
      </xdr:nvSpPr>
      <xdr:spPr>
        <a:xfrm>
          <a:off x="2981325" y="19926300"/>
          <a:ext cx="1461919"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300" b="0"/>
            <a:t>4" inspection pipe</a:t>
          </a:r>
        </a:p>
      </xdr:txBody>
    </xdr:sp>
    <xdr:clientData/>
  </xdr:oneCellAnchor>
  <xdr:twoCellAnchor>
    <xdr:from>
      <xdr:col>8</xdr:col>
      <xdr:colOff>146685</xdr:colOff>
      <xdr:row>125</xdr:row>
      <xdr:rowOff>123826</xdr:rowOff>
    </xdr:from>
    <xdr:to>
      <xdr:col>9</xdr:col>
      <xdr:colOff>10076</xdr:colOff>
      <xdr:row>127</xdr:row>
      <xdr:rowOff>57150</xdr:rowOff>
    </xdr:to>
    <xdr:cxnSp macro="">
      <xdr:nvCxnSpPr>
        <xdr:cNvPr id="25" name="Curved Connector 24">
          <a:extLst>
            <a:ext uri="{FF2B5EF4-FFF2-40B4-BE49-F238E27FC236}">
              <a16:creationId xmlns:a16="http://schemas.microsoft.com/office/drawing/2014/main" id="{00000000-0008-0000-0600-000019000000}"/>
            </a:ext>
          </a:extLst>
        </xdr:cNvPr>
        <xdr:cNvCxnSpPr/>
      </xdr:nvCxnSpPr>
      <xdr:spPr>
        <a:xfrm rot="5400000">
          <a:off x="2900360" y="20197766"/>
          <a:ext cx="314324" cy="228593"/>
        </a:xfrm>
        <a:prstGeom prst="curved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142875</xdr:colOff>
      <xdr:row>3</xdr:row>
      <xdr:rowOff>9525</xdr:rowOff>
    </xdr:from>
    <xdr:to>
      <xdr:col>17</xdr:col>
      <xdr:colOff>333375</xdr:colOff>
      <xdr:row>19</xdr:row>
      <xdr:rowOff>133350</xdr:rowOff>
    </xdr:to>
    <xdr:pic>
      <xdr:nvPicPr>
        <xdr:cNvPr id="3003589" name="Picture 25" descr="Table IXa.jpg">
          <a:extLst>
            <a:ext uri="{FF2B5EF4-FFF2-40B4-BE49-F238E27FC236}">
              <a16:creationId xmlns:a16="http://schemas.microsoft.com/office/drawing/2014/main" id="{00000000-0008-0000-0600-0000C5D42D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286125" y="1085850"/>
          <a:ext cx="265747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209550</xdr:colOff>
      <xdr:row>109</xdr:row>
      <xdr:rowOff>5715</xdr:rowOff>
    </xdr:from>
    <xdr:ext cx="1179474" cy="718185"/>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2760345" y="19764375"/>
          <a:ext cx="1186815" cy="7181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400" b="0">
              <a:solidFill>
                <a:srgbClr val="FF0000"/>
              </a:solidFill>
            </a:rPr>
            <a:t>Dispersal Bed</a:t>
          </a:r>
        </a:p>
        <a:p>
          <a:r>
            <a:rPr lang="en-US" sz="1400" b="0" baseline="0">
              <a:solidFill>
                <a:srgbClr val="FF0000"/>
              </a:solidFill>
            </a:rPr>
            <a:t>         X</a:t>
          </a:r>
          <a:endParaRPr lang="en-US" sz="1400" b="0">
            <a:solidFill>
              <a:srgbClr val="FF0000"/>
            </a:solidFill>
          </a:endParaRPr>
        </a:p>
      </xdr:txBody>
    </xdr:sp>
    <xdr:clientData/>
  </xdr:oneCellAnchor>
  <xdr:twoCellAnchor editAs="oneCell">
    <xdr:from>
      <xdr:col>15</xdr:col>
      <xdr:colOff>133350</xdr:colOff>
      <xdr:row>0</xdr:row>
      <xdr:rowOff>180975</xdr:rowOff>
    </xdr:from>
    <xdr:to>
      <xdr:col>17</xdr:col>
      <xdr:colOff>333375</xdr:colOff>
      <xdr:row>0</xdr:row>
      <xdr:rowOff>733425</xdr:rowOff>
    </xdr:to>
    <xdr:pic>
      <xdr:nvPicPr>
        <xdr:cNvPr id="3003591" name="Picture 10" descr="ostp logo PANTONE 328.tif">
          <a:extLst>
            <a:ext uri="{FF2B5EF4-FFF2-40B4-BE49-F238E27FC236}">
              <a16:creationId xmlns:a16="http://schemas.microsoft.com/office/drawing/2014/main" id="{00000000-0008-0000-0600-0000C7D42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38725" y="180975"/>
          <a:ext cx="9048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0</xdr:colOff>
          <xdr:row>110</xdr:row>
          <xdr:rowOff>28575</xdr:rowOff>
        </xdr:from>
        <xdr:to>
          <xdr:col>2</xdr:col>
          <xdr:colOff>266700</xdr:colOff>
          <xdr:row>114</xdr:row>
          <xdr:rowOff>0</xdr:rowOff>
        </xdr:to>
        <xdr:pic>
          <xdr:nvPicPr>
            <xdr:cNvPr id="3003592" name="TextBox1">
              <a:extLst>
                <a:ext uri="{FF2B5EF4-FFF2-40B4-BE49-F238E27FC236}">
                  <a16:creationId xmlns:a16="http://schemas.microsoft.com/office/drawing/2014/main" id="{00000000-0008-0000-0600-0000C8D42D00}"/>
                </a:ext>
              </a:extLst>
            </xdr:cNvPr>
            <xdr:cNvPicPr preferRelativeResize="0">
              <a:picLocks noChangeArrowheads="1" noChangeShapeType="1"/>
              <a:extLst>
                <a:ext uri="{84589F7E-364E-4C9E-8A38-B11213B215E9}">
                  <a14:cameraTool cellRange="$L$93" spid="_x0000_s3051591"/>
                </a:ext>
              </a:extLst>
            </xdr:cNvPicPr>
          </xdr:nvPicPr>
          <xdr:blipFill>
            <a:blip xmlns:r="http://schemas.openxmlformats.org/officeDocument/2006/relationships" r:embed="rId8"/>
            <a:srcRect/>
            <a:stretch>
              <a:fillRect/>
            </a:stretch>
          </xdr:blipFill>
          <xdr:spPr bwMode="auto">
            <a:xfrm rot="-5400000">
              <a:off x="90487" y="19645313"/>
              <a:ext cx="73342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200025</xdr:colOff>
          <xdr:row>110</xdr:row>
          <xdr:rowOff>133350</xdr:rowOff>
        </xdr:from>
        <xdr:to>
          <xdr:col>5</xdr:col>
          <xdr:colOff>200025</xdr:colOff>
          <xdr:row>112</xdr:row>
          <xdr:rowOff>19050</xdr:rowOff>
        </xdr:to>
        <xdr:pic>
          <xdr:nvPicPr>
            <xdr:cNvPr id="3003593" name="Picture 2">
              <a:extLst>
                <a:ext uri="{FF2B5EF4-FFF2-40B4-BE49-F238E27FC236}">
                  <a16:creationId xmlns:a16="http://schemas.microsoft.com/office/drawing/2014/main" id="{00000000-0008-0000-0600-0000C9D42D00}"/>
                </a:ext>
              </a:extLst>
            </xdr:cNvPr>
            <xdr:cNvPicPr preferRelativeResize="0">
              <a:picLocks noChangeArrowheads="1" noChangeShapeType="1"/>
              <a:extLst>
                <a:ext uri="{84589F7E-364E-4C9E-8A38-B11213B215E9}">
                  <a14:cameraTool cellRange="$I$90" spid="_x0000_s3051592"/>
                </a:ext>
              </a:extLst>
            </xdr:cNvPicPr>
          </xdr:nvPicPr>
          <xdr:blipFill>
            <a:blip xmlns:r="http://schemas.openxmlformats.org/officeDocument/2006/relationships" r:embed="rId8"/>
            <a:srcRect/>
            <a:stretch>
              <a:fillRect/>
            </a:stretch>
          </xdr:blipFill>
          <xdr:spPr bwMode="auto">
            <a:xfrm>
              <a:off x="876300" y="19516725"/>
              <a:ext cx="70485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209550</xdr:colOff>
          <xdr:row>110</xdr:row>
          <xdr:rowOff>114300</xdr:rowOff>
        </xdr:from>
        <xdr:to>
          <xdr:col>16</xdr:col>
          <xdr:colOff>209550</xdr:colOff>
          <xdr:row>112</xdr:row>
          <xdr:rowOff>9525</xdr:rowOff>
        </xdr:to>
        <xdr:pic>
          <xdr:nvPicPr>
            <xdr:cNvPr id="3003594" name="Picture 3">
              <a:extLst>
                <a:ext uri="{FF2B5EF4-FFF2-40B4-BE49-F238E27FC236}">
                  <a16:creationId xmlns:a16="http://schemas.microsoft.com/office/drawing/2014/main" id="{00000000-0008-0000-0600-0000CAD42D00}"/>
                </a:ext>
              </a:extLst>
            </xdr:cNvPr>
            <xdr:cNvPicPr preferRelativeResize="0">
              <a:picLocks noChangeArrowheads="1" noChangeShapeType="1"/>
              <a:extLst>
                <a:ext uri="{84589F7E-364E-4C9E-8A38-B11213B215E9}">
                  <a14:cameraTool cellRange="$I$90" spid="_x0000_s3051593"/>
                </a:ext>
              </a:extLst>
            </xdr:cNvPicPr>
          </xdr:nvPicPr>
          <xdr:blipFill>
            <a:blip xmlns:r="http://schemas.openxmlformats.org/officeDocument/2006/relationships" r:embed="rId8"/>
            <a:srcRect/>
            <a:stretch>
              <a:fillRect/>
            </a:stretch>
          </xdr:blipFill>
          <xdr:spPr bwMode="auto">
            <a:xfrm>
              <a:off x="4762500" y="194976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115</xdr:row>
          <xdr:rowOff>28575</xdr:rowOff>
        </xdr:from>
        <xdr:to>
          <xdr:col>9</xdr:col>
          <xdr:colOff>304800</xdr:colOff>
          <xdr:row>119</xdr:row>
          <xdr:rowOff>0</xdr:rowOff>
        </xdr:to>
        <xdr:pic>
          <xdr:nvPicPr>
            <xdr:cNvPr id="3003595" name="Picture 4">
              <a:extLst>
                <a:ext uri="{FF2B5EF4-FFF2-40B4-BE49-F238E27FC236}">
                  <a16:creationId xmlns:a16="http://schemas.microsoft.com/office/drawing/2014/main" id="{00000000-0008-0000-0600-0000CBD42D00}"/>
                </a:ext>
              </a:extLst>
            </xdr:cNvPr>
            <xdr:cNvPicPr preferRelativeResize="0">
              <a:picLocks noChangeArrowheads="1" noChangeShapeType="1"/>
              <a:extLst>
                <a:ext uri="{84589F7E-364E-4C9E-8A38-B11213B215E9}">
                  <a14:cameraTool cellRange="$I$90" spid="_x0000_s3051594"/>
                </a:ext>
              </a:extLst>
            </xdr:cNvPicPr>
          </xdr:nvPicPr>
          <xdr:blipFill>
            <a:blip xmlns:r="http://schemas.openxmlformats.org/officeDocument/2006/relationships" r:embed="rId8"/>
            <a:srcRect/>
            <a:stretch>
              <a:fillRect/>
            </a:stretch>
          </xdr:blipFill>
          <xdr:spPr bwMode="auto">
            <a:xfrm rot="-5400000">
              <a:off x="2600325" y="20602575"/>
              <a:ext cx="733425" cy="257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136</xdr:row>
          <xdr:rowOff>76200</xdr:rowOff>
        </xdr:from>
        <xdr:to>
          <xdr:col>10</xdr:col>
          <xdr:colOff>47625</xdr:colOff>
          <xdr:row>137</xdr:row>
          <xdr:rowOff>161925</xdr:rowOff>
        </xdr:to>
        <xdr:pic>
          <xdr:nvPicPr>
            <xdr:cNvPr id="3003596" name="Picture 5">
              <a:extLst>
                <a:ext uri="{FF2B5EF4-FFF2-40B4-BE49-F238E27FC236}">
                  <a16:creationId xmlns:a16="http://schemas.microsoft.com/office/drawing/2014/main" id="{00000000-0008-0000-0600-0000CCD42D00}"/>
                </a:ext>
              </a:extLst>
            </xdr:cNvPr>
            <xdr:cNvPicPr preferRelativeResize="0">
              <a:picLocks noChangeArrowheads="1" noChangeShapeType="1"/>
              <a:extLst>
                <a:ext uri="{84589F7E-364E-4C9E-8A38-B11213B215E9}">
                  <a14:cameraTool cellRange="$J$41" spid="_x0000_s3051595"/>
                </a:ext>
              </a:extLst>
            </xdr:cNvPicPr>
          </xdr:nvPicPr>
          <xdr:blipFill>
            <a:blip xmlns:r="http://schemas.openxmlformats.org/officeDocument/2006/relationships" r:embed="rId8"/>
            <a:srcRect/>
            <a:stretch>
              <a:fillRect/>
            </a:stretch>
          </xdr:blipFill>
          <xdr:spPr bwMode="auto">
            <a:xfrm>
              <a:off x="2486025" y="244125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13</xdr:col>
          <xdr:colOff>161925</xdr:colOff>
          <xdr:row>126</xdr:row>
          <xdr:rowOff>114300</xdr:rowOff>
        </xdr:from>
        <xdr:to>
          <xdr:col>15</xdr:col>
          <xdr:colOff>161925</xdr:colOff>
          <xdr:row>128</xdr:row>
          <xdr:rowOff>9525</xdr:rowOff>
        </xdr:to>
        <xdr:pic>
          <xdr:nvPicPr>
            <xdr:cNvPr id="3003597" name="Picture 6">
              <a:extLst>
                <a:ext uri="{FF2B5EF4-FFF2-40B4-BE49-F238E27FC236}">
                  <a16:creationId xmlns:a16="http://schemas.microsoft.com/office/drawing/2014/main" id="{00000000-0008-0000-0600-0000CDD42D00}"/>
                </a:ext>
              </a:extLst>
            </xdr:cNvPr>
            <xdr:cNvPicPr preferRelativeResize="0">
              <a:picLocks noChangeArrowheads="1" noChangeShapeType="1"/>
              <a:extLst>
                <a:ext uri="{84589F7E-364E-4C9E-8A38-B11213B215E9}">
                  <a14:cameraTool cellRange="$I$90" spid="_x0000_s3051596"/>
                </a:ext>
              </a:extLst>
            </xdr:cNvPicPr>
          </xdr:nvPicPr>
          <xdr:blipFill>
            <a:blip xmlns:r="http://schemas.openxmlformats.org/officeDocument/2006/relationships" r:embed="rId8"/>
            <a:srcRect/>
            <a:stretch>
              <a:fillRect/>
            </a:stretch>
          </xdr:blipFill>
          <xdr:spPr bwMode="auto">
            <a:xfrm>
              <a:off x="4362450" y="225456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133350</xdr:rowOff>
        </xdr:from>
        <xdr:to>
          <xdr:col>6</xdr:col>
          <xdr:colOff>38100</xdr:colOff>
          <xdr:row>128</xdr:row>
          <xdr:rowOff>19050</xdr:rowOff>
        </xdr:to>
        <xdr:pic>
          <xdr:nvPicPr>
            <xdr:cNvPr id="3003598" name="Picture 7">
              <a:extLst>
                <a:ext uri="{FF2B5EF4-FFF2-40B4-BE49-F238E27FC236}">
                  <a16:creationId xmlns:a16="http://schemas.microsoft.com/office/drawing/2014/main" id="{00000000-0008-0000-0600-0000CED42D00}"/>
                </a:ext>
              </a:extLst>
            </xdr:cNvPr>
            <xdr:cNvPicPr preferRelativeResize="0">
              <a:picLocks noChangeArrowheads="1" noChangeShapeType="1"/>
              <a:extLst>
                <a:ext uri="{84589F7E-364E-4C9E-8A38-B11213B215E9}">
                  <a14:cameraTool cellRange="$I$90" spid="_x0000_s3051597"/>
                </a:ext>
              </a:extLst>
            </xdr:cNvPicPr>
          </xdr:nvPicPr>
          <xdr:blipFill>
            <a:blip xmlns:r="http://schemas.openxmlformats.org/officeDocument/2006/relationships" r:embed="rId8"/>
            <a:srcRect/>
            <a:stretch>
              <a:fillRect/>
            </a:stretch>
          </xdr:blipFill>
          <xdr:spPr bwMode="auto">
            <a:xfrm>
              <a:off x="1066800" y="22564725"/>
              <a:ext cx="70485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132</xdr:row>
          <xdr:rowOff>76200</xdr:rowOff>
        </xdr:from>
        <xdr:to>
          <xdr:col>9</xdr:col>
          <xdr:colOff>123825</xdr:colOff>
          <xdr:row>133</xdr:row>
          <xdr:rowOff>161925</xdr:rowOff>
        </xdr:to>
        <xdr:pic>
          <xdr:nvPicPr>
            <xdr:cNvPr id="3003599" name="Picture 8">
              <a:extLst>
                <a:ext uri="{FF2B5EF4-FFF2-40B4-BE49-F238E27FC236}">
                  <a16:creationId xmlns:a16="http://schemas.microsoft.com/office/drawing/2014/main" id="{00000000-0008-0000-0600-0000CFD42D00}"/>
                </a:ext>
              </a:extLst>
            </xdr:cNvPr>
            <xdr:cNvPicPr preferRelativeResize="0">
              <a:picLocks noChangeArrowheads="1" noChangeShapeType="1"/>
              <a:extLst>
                <a:ext uri="{84589F7E-364E-4C9E-8A38-B11213B215E9}">
                  <a14:cameraTool cellRange="C78" spid="_x0000_s3051598"/>
                </a:ext>
              </a:extLst>
            </xdr:cNvPicPr>
          </xdr:nvPicPr>
          <xdr:blipFill>
            <a:blip xmlns:r="http://schemas.openxmlformats.org/officeDocument/2006/relationships" r:embed="rId8"/>
            <a:srcRect/>
            <a:stretch>
              <a:fillRect/>
            </a:stretch>
          </xdr:blipFill>
          <xdr:spPr bwMode="auto">
            <a:xfrm>
              <a:off x="2209800" y="236505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134</xdr:row>
          <xdr:rowOff>95250</xdr:rowOff>
        </xdr:from>
        <xdr:to>
          <xdr:col>7</xdr:col>
          <xdr:colOff>285750</xdr:colOff>
          <xdr:row>135</xdr:row>
          <xdr:rowOff>180975</xdr:rowOff>
        </xdr:to>
        <xdr:pic>
          <xdr:nvPicPr>
            <xdr:cNvPr id="3003600" name="Picture 9">
              <a:extLst>
                <a:ext uri="{FF2B5EF4-FFF2-40B4-BE49-F238E27FC236}">
                  <a16:creationId xmlns:a16="http://schemas.microsoft.com/office/drawing/2014/main" id="{00000000-0008-0000-0600-0000D0D42D00}"/>
                </a:ext>
              </a:extLst>
            </xdr:cNvPr>
            <xdr:cNvPicPr preferRelativeResize="0">
              <a:picLocks noChangeArrowheads="1" noChangeShapeType="1"/>
              <a:extLst>
                <a:ext uri="{84589F7E-364E-4C9E-8A38-B11213B215E9}">
                  <a14:cameraTool cellRange="$E$75" spid="_x0000_s3051599"/>
                </a:ext>
              </a:extLst>
            </xdr:cNvPicPr>
          </xdr:nvPicPr>
          <xdr:blipFill>
            <a:blip xmlns:r="http://schemas.openxmlformats.org/officeDocument/2006/relationships" r:embed="rId8"/>
            <a:srcRect/>
            <a:stretch>
              <a:fillRect/>
            </a:stretch>
          </xdr:blipFill>
          <xdr:spPr bwMode="auto">
            <a:xfrm>
              <a:off x="1666875" y="2405062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103</xdr:row>
          <xdr:rowOff>171450</xdr:rowOff>
        </xdr:from>
        <xdr:to>
          <xdr:col>9</xdr:col>
          <xdr:colOff>304800</xdr:colOff>
          <xdr:row>107</xdr:row>
          <xdr:rowOff>142875</xdr:rowOff>
        </xdr:to>
        <xdr:pic>
          <xdr:nvPicPr>
            <xdr:cNvPr id="3003601" name="Picture 10">
              <a:extLst>
                <a:ext uri="{FF2B5EF4-FFF2-40B4-BE49-F238E27FC236}">
                  <a16:creationId xmlns:a16="http://schemas.microsoft.com/office/drawing/2014/main" id="{00000000-0008-0000-0600-0000D1D42D00}"/>
                </a:ext>
              </a:extLst>
            </xdr:cNvPr>
            <xdr:cNvPicPr preferRelativeResize="0">
              <a:picLocks noChangeArrowheads="1" noChangeShapeType="1"/>
              <a:extLst>
                <a:ext uri="{84589F7E-364E-4C9E-8A38-B11213B215E9}">
                  <a14:cameraTool cellRange="$I$90" spid="_x0000_s3051600"/>
                </a:ext>
              </a:extLst>
            </xdr:cNvPicPr>
          </xdr:nvPicPr>
          <xdr:blipFill>
            <a:blip xmlns:r="http://schemas.openxmlformats.org/officeDocument/2006/relationships" r:embed="rId8"/>
            <a:srcRect/>
            <a:stretch>
              <a:fillRect/>
            </a:stretch>
          </xdr:blipFill>
          <xdr:spPr bwMode="auto">
            <a:xfrm rot="-5400000">
              <a:off x="2595562" y="18454688"/>
              <a:ext cx="73342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119</xdr:row>
          <xdr:rowOff>161925</xdr:rowOff>
        </xdr:from>
        <xdr:to>
          <xdr:col>10</xdr:col>
          <xdr:colOff>238125</xdr:colOff>
          <xdr:row>121</xdr:row>
          <xdr:rowOff>57150</xdr:rowOff>
        </xdr:to>
        <xdr:pic>
          <xdr:nvPicPr>
            <xdr:cNvPr id="3003602" name="Picture 11">
              <a:extLst>
                <a:ext uri="{FF2B5EF4-FFF2-40B4-BE49-F238E27FC236}">
                  <a16:creationId xmlns:a16="http://schemas.microsoft.com/office/drawing/2014/main" id="{00000000-0008-0000-0600-0000D2D42D00}"/>
                </a:ext>
              </a:extLst>
            </xdr:cNvPr>
            <xdr:cNvPicPr preferRelativeResize="0">
              <a:picLocks noChangeArrowheads="1" noChangeShapeType="1"/>
              <a:extLst>
                <a:ext uri="{84589F7E-364E-4C9E-8A38-B11213B215E9}">
                  <a14:cameraTool cellRange="$L$96" spid="_x0000_s3051601"/>
                </a:ext>
              </a:extLst>
            </xdr:cNvPicPr>
          </xdr:nvPicPr>
          <xdr:blipFill>
            <a:blip xmlns:r="http://schemas.openxmlformats.org/officeDocument/2006/relationships" r:embed="rId8"/>
            <a:srcRect/>
            <a:stretch>
              <a:fillRect/>
            </a:stretch>
          </xdr:blipFill>
          <xdr:spPr bwMode="auto">
            <a:xfrm>
              <a:off x="2676525" y="21259800"/>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238125</xdr:colOff>
          <xdr:row>110</xdr:row>
          <xdr:rowOff>76200</xdr:rowOff>
        </xdr:from>
        <xdr:to>
          <xdr:col>9</xdr:col>
          <xdr:colOff>238125</xdr:colOff>
          <xdr:row>111</xdr:row>
          <xdr:rowOff>161925</xdr:rowOff>
        </xdr:to>
        <xdr:pic>
          <xdr:nvPicPr>
            <xdr:cNvPr id="3003603" name="Picture 12">
              <a:extLst>
                <a:ext uri="{FF2B5EF4-FFF2-40B4-BE49-F238E27FC236}">
                  <a16:creationId xmlns:a16="http://schemas.microsoft.com/office/drawing/2014/main" id="{00000000-0008-0000-0600-0000D3D42D00}"/>
                </a:ext>
              </a:extLst>
            </xdr:cNvPr>
            <xdr:cNvPicPr preferRelativeResize="0">
              <a:picLocks noChangeArrowheads="1" noChangeShapeType="1"/>
              <a:extLst>
                <a:ext uri="{84589F7E-364E-4C9E-8A38-B11213B215E9}">
                  <a14:cameraTool cellRange="$F$96" spid="_x0000_s3051602"/>
                </a:ext>
              </a:extLst>
            </xdr:cNvPicPr>
          </xdr:nvPicPr>
          <xdr:blipFill>
            <a:blip xmlns:r="http://schemas.openxmlformats.org/officeDocument/2006/relationships" r:embed="rId8"/>
            <a:srcRect/>
            <a:stretch>
              <a:fillRect/>
            </a:stretch>
          </xdr:blipFill>
          <xdr:spPr bwMode="auto">
            <a:xfrm>
              <a:off x="2324100" y="194595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116205</xdr:colOff>
          <xdr:row>110</xdr:row>
          <xdr:rowOff>66675</xdr:rowOff>
        </xdr:from>
        <xdr:to>
          <xdr:col>12</xdr:col>
          <xdr:colOff>110598</xdr:colOff>
          <xdr:row>111</xdr:row>
          <xdr:rowOff>152400</xdr:rowOff>
        </xdr:to>
        <xdr:pic>
          <xdr:nvPicPr>
            <xdr:cNvPr id="2552905" name="Picture 13">
              <a:extLst>
                <a:ext uri="{FF2B5EF4-FFF2-40B4-BE49-F238E27FC236}">
                  <a16:creationId xmlns:a16="http://schemas.microsoft.com/office/drawing/2014/main" id="{00000000-0008-0000-0600-000049F42600}"/>
                </a:ext>
              </a:extLst>
            </xdr:cNvPr>
            <xdr:cNvPicPr>
              <a:picLocks noChangeArrowheads="1"/>
              <a:extLst>
                <a:ext uri="{84589F7E-364E-4C9E-8A38-B11213B215E9}">
                  <a14:cameraTool cellRange="$H$32" spid="_x0000_s3051603"/>
                </a:ext>
              </a:extLst>
            </xdr:cNvPicPr>
          </xdr:nvPicPr>
          <xdr:blipFill>
            <a:blip xmlns:r="http://schemas.openxmlformats.org/officeDocument/2006/relationships" r:embed="rId9">
              <a:duotone>
                <a:prstClr val="black"/>
                <a:schemeClr val="accent5">
                  <a:lumMod val="20000"/>
                  <a:lumOff val="80000"/>
                  <a:tint val="45000"/>
                  <a:satMod val="400000"/>
                </a:schemeClr>
              </a:duotone>
              <a:lum contrast="20000"/>
            </a:blip>
            <a:srcRect/>
            <a:stretch>
              <a:fillRect/>
            </a:stretch>
          </xdr:blipFill>
          <xdr:spPr bwMode="auto">
            <a:xfrm>
              <a:off x="3257550" y="19450050"/>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99060</xdr:colOff>
      <xdr:row>5</xdr:row>
      <xdr:rowOff>243840</xdr:rowOff>
    </xdr:from>
    <xdr:to>
      <xdr:col>17</xdr:col>
      <xdr:colOff>342900</xdr:colOff>
      <xdr:row>19</xdr:row>
      <xdr:rowOff>137160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89220" y="1630680"/>
          <a:ext cx="975360" cy="2293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12</xdr:col>
      <xdr:colOff>259080</xdr:colOff>
      <xdr:row>18</xdr:row>
      <xdr:rowOff>22860</xdr:rowOff>
    </xdr:from>
    <xdr:to>
      <xdr:col>13</xdr:col>
      <xdr:colOff>297180</xdr:colOff>
      <xdr:row>18</xdr:row>
      <xdr:rowOff>175260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251960" y="3581400"/>
          <a:ext cx="403860" cy="1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0.24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100</xdr:row>
      <xdr:rowOff>38100</xdr:rowOff>
    </xdr:from>
    <xdr:to>
      <xdr:col>18</xdr:col>
      <xdr:colOff>114300</xdr:colOff>
      <xdr:row>122</xdr:row>
      <xdr:rowOff>38100</xdr:rowOff>
    </xdr:to>
    <xdr:pic>
      <xdr:nvPicPr>
        <xdr:cNvPr id="2998846" name="Picture 182">
          <a:extLst>
            <a:ext uri="{FF2B5EF4-FFF2-40B4-BE49-F238E27FC236}">
              <a16:creationId xmlns:a16="http://schemas.microsoft.com/office/drawing/2014/main" id="{00000000-0008-0000-0700-00003EC2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611975"/>
          <a:ext cx="5972175"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121</xdr:row>
      <xdr:rowOff>171450</xdr:rowOff>
    </xdr:from>
    <xdr:to>
      <xdr:col>18</xdr:col>
      <xdr:colOff>133350</xdr:colOff>
      <xdr:row>137</xdr:row>
      <xdr:rowOff>28575</xdr:rowOff>
    </xdr:to>
    <xdr:pic>
      <xdr:nvPicPr>
        <xdr:cNvPr id="2998847" name="Picture 197">
          <a:extLst>
            <a:ext uri="{FF2B5EF4-FFF2-40B4-BE49-F238E27FC236}">
              <a16:creationId xmlns:a16="http://schemas.microsoft.com/office/drawing/2014/main" id="{00000000-0008-0000-0700-00003FC2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745825"/>
          <a:ext cx="605790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19050</xdr:rowOff>
    </xdr:from>
    <xdr:to>
      <xdr:col>4</xdr:col>
      <xdr:colOff>47625</xdr:colOff>
      <xdr:row>0</xdr:row>
      <xdr:rowOff>809625</xdr:rowOff>
    </xdr:to>
    <xdr:pic>
      <xdr:nvPicPr>
        <xdr:cNvPr id="2998848" name="Picture 215" descr="mpca-center-4c">
          <a:extLst>
            <a:ext uri="{FF2B5EF4-FFF2-40B4-BE49-F238E27FC236}">
              <a16:creationId xmlns:a16="http://schemas.microsoft.com/office/drawing/2014/main" id="{00000000-0008-0000-0700-000040C2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19050"/>
          <a:ext cx="10858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14</xdr:row>
      <xdr:rowOff>19050</xdr:rowOff>
    </xdr:from>
    <xdr:to>
      <xdr:col>9</xdr:col>
      <xdr:colOff>247650</xdr:colOff>
      <xdr:row>22</xdr:row>
      <xdr:rowOff>57150</xdr:rowOff>
    </xdr:to>
    <xdr:pic>
      <xdr:nvPicPr>
        <xdr:cNvPr id="2998849" name="Picture 471">
          <a:extLst>
            <a:ext uri="{FF2B5EF4-FFF2-40B4-BE49-F238E27FC236}">
              <a16:creationId xmlns:a16="http://schemas.microsoft.com/office/drawing/2014/main" id="{00000000-0008-0000-0700-000041C22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2023"/>
        <a:stretch>
          <a:fillRect/>
        </a:stretch>
      </xdr:blipFill>
      <xdr:spPr bwMode="auto">
        <a:xfrm>
          <a:off x="238125" y="2771775"/>
          <a:ext cx="281940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180975</xdr:colOff>
      <xdr:row>0</xdr:row>
      <xdr:rowOff>323850</xdr:rowOff>
    </xdr:from>
    <xdr:to>
      <xdr:col>15</xdr:col>
      <xdr:colOff>238125</xdr:colOff>
      <xdr:row>0</xdr:row>
      <xdr:rowOff>666750</xdr:rowOff>
    </xdr:to>
    <xdr:pic>
      <xdr:nvPicPr>
        <xdr:cNvPr id="2998850" name="Picture 7" descr="Cwdmk.tif">
          <a:extLst>
            <a:ext uri="{FF2B5EF4-FFF2-40B4-BE49-F238E27FC236}">
              <a16:creationId xmlns:a16="http://schemas.microsoft.com/office/drawing/2014/main" id="{00000000-0008-0000-0700-000042C22D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48125" y="323850"/>
          <a:ext cx="1114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101</xdr:row>
      <xdr:rowOff>76200</xdr:rowOff>
    </xdr:from>
    <xdr:to>
      <xdr:col>20</xdr:col>
      <xdr:colOff>276225</xdr:colOff>
      <xdr:row>125</xdr:row>
      <xdr:rowOff>9525</xdr:rowOff>
    </xdr:to>
    <xdr:sp macro="" textlink="">
      <xdr:nvSpPr>
        <xdr:cNvPr id="2998851" name="AutoShape 3136">
          <a:extLst>
            <a:ext uri="{FF2B5EF4-FFF2-40B4-BE49-F238E27FC236}">
              <a16:creationId xmlns:a16="http://schemas.microsoft.com/office/drawing/2014/main" id="{00000000-0008-0000-0700-000043C22D00}"/>
            </a:ext>
          </a:extLst>
        </xdr:cNvPr>
        <xdr:cNvSpPr>
          <a:spLocks noChangeAspect="1" noChangeArrowheads="1"/>
        </xdr:cNvSpPr>
      </xdr:nvSpPr>
      <xdr:spPr bwMode="auto">
        <a:xfrm>
          <a:off x="171450" y="19840575"/>
          <a:ext cx="641985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142875</xdr:colOff>
      <xdr:row>3</xdr:row>
      <xdr:rowOff>9525</xdr:rowOff>
    </xdr:from>
    <xdr:to>
      <xdr:col>18</xdr:col>
      <xdr:colOff>123825</xdr:colOff>
      <xdr:row>19</xdr:row>
      <xdr:rowOff>209550</xdr:rowOff>
    </xdr:to>
    <xdr:pic>
      <xdr:nvPicPr>
        <xdr:cNvPr id="2998852" name="Picture 9" descr="Table IXa.jpg">
          <a:extLst>
            <a:ext uri="{FF2B5EF4-FFF2-40B4-BE49-F238E27FC236}">
              <a16:creationId xmlns:a16="http://schemas.microsoft.com/office/drawing/2014/main" id="{00000000-0008-0000-0700-000044C22D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05175" y="1085850"/>
          <a:ext cx="280035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285750</xdr:colOff>
      <xdr:row>0</xdr:row>
      <xdr:rowOff>209550</xdr:rowOff>
    </xdr:from>
    <xdr:to>
      <xdr:col>18</xdr:col>
      <xdr:colOff>133350</xdr:colOff>
      <xdr:row>0</xdr:row>
      <xdr:rowOff>771525</xdr:rowOff>
    </xdr:to>
    <xdr:pic>
      <xdr:nvPicPr>
        <xdr:cNvPr id="2998853" name="Picture 10" descr="ostp logo PANTONE 328.tif">
          <a:extLst>
            <a:ext uri="{FF2B5EF4-FFF2-40B4-BE49-F238E27FC236}">
              <a16:creationId xmlns:a16="http://schemas.microsoft.com/office/drawing/2014/main" id="{00000000-0008-0000-0700-000045C22D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10175" y="209550"/>
          <a:ext cx="904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219075</xdr:colOff>
          <xdr:row>103</xdr:row>
          <xdr:rowOff>19050</xdr:rowOff>
        </xdr:from>
        <xdr:to>
          <xdr:col>12</xdr:col>
          <xdr:colOff>219075</xdr:colOff>
          <xdr:row>104</xdr:row>
          <xdr:rowOff>104775</xdr:rowOff>
        </xdr:to>
        <xdr:pic>
          <xdr:nvPicPr>
            <xdr:cNvPr id="2998854" name="Picture 4">
              <a:extLst>
                <a:ext uri="{FF2B5EF4-FFF2-40B4-BE49-F238E27FC236}">
                  <a16:creationId xmlns:a16="http://schemas.microsoft.com/office/drawing/2014/main" id="{00000000-0008-0000-0700-000046C22D00}"/>
                </a:ext>
              </a:extLst>
            </xdr:cNvPr>
            <xdr:cNvPicPr preferRelativeResize="0">
              <a:picLocks noChangeArrowheads="1" noChangeShapeType="1"/>
              <a:extLst>
                <a:ext uri="{84589F7E-364E-4C9E-8A38-B11213B215E9}">
                  <a14:cameraTool cellRange="N75" spid="_x0000_s3033492"/>
                </a:ext>
              </a:extLst>
            </xdr:cNvPicPr>
          </xdr:nvPicPr>
          <xdr:blipFill>
            <a:blip xmlns:r="http://schemas.openxmlformats.org/officeDocument/2006/relationships" r:embed="rId8"/>
            <a:srcRect/>
            <a:stretch>
              <a:fillRect/>
            </a:stretch>
          </xdr:blipFill>
          <xdr:spPr bwMode="auto">
            <a:xfrm>
              <a:off x="3381375" y="2016442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228600</xdr:colOff>
          <xdr:row>108</xdr:row>
          <xdr:rowOff>95250</xdr:rowOff>
        </xdr:from>
        <xdr:to>
          <xdr:col>17</xdr:col>
          <xdr:colOff>228600</xdr:colOff>
          <xdr:row>109</xdr:row>
          <xdr:rowOff>180975</xdr:rowOff>
        </xdr:to>
        <xdr:pic>
          <xdr:nvPicPr>
            <xdr:cNvPr id="2998855" name="Picture 5">
              <a:extLst>
                <a:ext uri="{FF2B5EF4-FFF2-40B4-BE49-F238E27FC236}">
                  <a16:creationId xmlns:a16="http://schemas.microsoft.com/office/drawing/2014/main" id="{00000000-0008-0000-0700-000047C22D00}"/>
                </a:ext>
              </a:extLst>
            </xdr:cNvPr>
            <xdr:cNvPicPr preferRelativeResize="0">
              <a:picLocks noChangeArrowheads="1" noChangeShapeType="1"/>
              <a:extLst>
                <a:ext uri="{84589F7E-364E-4C9E-8A38-B11213B215E9}">
                  <a14:cameraTool cellRange="N94" spid="_x0000_s3033493"/>
                </a:ext>
              </a:extLst>
            </xdr:cNvPicPr>
          </xdr:nvPicPr>
          <xdr:blipFill>
            <a:blip xmlns:r="http://schemas.openxmlformats.org/officeDocument/2006/relationships" r:embed="rId8"/>
            <a:srcRect/>
            <a:stretch>
              <a:fillRect/>
            </a:stretch>
          </xdr:blipFill>
          <xdr:spPr bwMode="auto">
            <a:xfrm>
              <a:off x="5153025" y="2119312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108</xdr:row>
          <xdr:rowOff>76200</xdr:rowOff>
        </xdr:from>
        <xdr:to>
          <xdr:col>5</xdr:col>
          <xdr:colOff>133350</xdr:colOff>
          <xdr:row>109</xdr:row>
          <xdr:rowOff>161925</xdr:rowOff>
        </xdr:to>
        <xdr:pic>
          <xdr:nvPicPr>
            <xdr:cNvPr id="2998856" name="Picture 6">
              <a:extLst>
                <a:ext uri="{FF2B5EF4-FFF2-40B4-BE49-F238E27FC236}">
                  <a16:creationId xmlns:a16="http://schemas.microsoft.com/office/drawing/2014/main" id="{00000000-0008-0000-0700-000048C22D00}"/>
                </a:ext>
              </a:extLst>
            </xdr:cNvPr>
            <xdr:cNvPicPr preferRelativeResize="0">
              <a:picLocks noChangeArrowheads="1" noChangeShapeType="1"/>
              <a:extLst>
                <a:ext uri="{84589F7E-364E-4C9E-8A38-B11213B215E9}">
                  <a14:cameraTool cellRange="N94" spid="_x0000_s3033494"/>
                </a:ext>
              </a:extLst>
            </xdr:cNvPicPr>
          </xdr:nvPicPr>
          <xdr:blipFill>
            <a:blip xmlns:r="http://schemas.openxmlformats.org/officeDocument/2006/relationships" r:embed="rId8"/>
            <a:srcRect/>
            <a:stretch>
              <a:fillRect/>
            </a:stretch>
          </xdr:blipFill>
          <xdr:spPr bwMode="auto">
            <a:xfrm>
              <a:off x="828675" y="211740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112</xdr:row>
          <xdr:rowOff>76200</xdr:rowOff>
        </xdr:from>
        <xdr:to>
          <xdr:col>11</xdr:col>
          <xdr:colOff>171450</xdr:colOff>
          <xdr:row>113</xdr:row>
          <xdr:rowOff>161925</xdr:rowOff>
        </xdr:to>
        <xdr:pic>
          <xdr:nvPicPr>
            <xdr:cNvPr id="2998857" name="Picture 7">
              <a:extLst>
                <a:ext uri="{FF2B5EF4-FFF2-40B4-BE49-F238E27FC236}">
                  <a16:creationId xmlns:a16="http://schemas.microsoft.com/office/drawing/2014/main" id="{00000000-0008-0000-0700-000049C22D00}"/>
                </a:ext>
              </a:extLst>
            </xdr:cNvPr>
            <xdr:cNvPicPr preferRelativeResize="0">
              <a:picLocks noChangeArrowheads="1" noChangeShapeType="1"/>
              <a:extLst>
                <a:ext uri="{84589F7E-364E-4C9E-8A38-B11213B215E9}">
                  <a14:cameraTool cellRange="K90" spid="_x0000_s3033495"/>
                </a:ext>
              </a:extLst>
            </xdr:cNvPicPr>
          </xdr:nvPicPr>
          <xdr:blipFill>
            <a:blip xmlns:r="http://schemas.openxmlformats.org/officeDocument/2006/relationships" r:embed="rId8"/>
            <a:srcRect/>
            <a:stretch>
              <a:fillRect/>
            </a:stretch>
          </xdr:blipFill>
          <xdr:spPr bwMode="auto">
            <a:xfrm>
              <a:off x="2981325" y="219360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211455</xdr:colOff>
          <xdr:row>108</xdr:row>
          <xdr:rowOff>123825</xdr:rowOff>
        </xdr:from>
        <xdr:to>
          <xdr:col>9</xdr:col>
          <xdr:colOff>211455</xdr:colOff>
          <xdr:row>110</xdr:row>
          <xdr:rowOff>19050</xdr:rowOff>
        </xdr:to>
        <xdr:pic>
          <xdr:nvPicPr>
            <xdr:cNvPr id="2553889" name="Picture 8">
              <a:extLst>
                <a:ext uri="{FF2B5EF4-FFF2-40B4-BE49-F238E27FC236}">
                  <a16:creationId xmlns:a16="http://schemas.microsoft.com/office/drawing/2014/main" id="{00000000-0008-0000-0700-000021F82600}"/>
                </a:ext>
              </a:extLst>
            </xdr:cNvPr>
            <xdr:cNvPicPr>
              <a:picLocks noChangeArrowheads="1"/>
              <a:extLst>
                <a:ext uri="{84589F7E-364E-4C9E-8A38-B11213B215E9}">
                  <a14:cameraTool cellRange="$H$29" spid="_x0000_s3033496"/>
                </a:ext>
              </a:extLst>
            </xdr:cNvPicPr>
          </xdr:nvPicPr>
          <xdr:blipFill>
            <a:blip xmlns:r="http://schemas.openxmlformats.org/officeDocument/2006/relationships" r:embed="rId9">
              <a:duotone>
                <a:prstClr val="black"/>
                <a:schemeClr val="accent5">
                  <a:lumMod val="20000"/>
                  <a:lumOff val="80000"/>
                  <a:tint val="45000"/>
                  <a:satMod val="400000"/>
                </a:schemeClr>
              </a:duotone>
            </a:blip>
            <a:srcRect/>
            <a:stretch>
              <a:fillRect/>
            </a:stretch>
          </xdr:blipFill>
          <xdr:spPr bwMode="auto">
            <a:xfrm>
              <a:off x="2314575" y="21221700"/>
              <a:ext cx="704850" cy="276225"/>
            </a:xfrm>
            <a:prstGeom prst="rect">
              <a:avLst/>
            </a:prstGeom>
            <a:solidFill>
              <a:schemeClr val="accent1">
                <a:lumMod val="20000"/>
                <a:lumOff val="80000"/>
              </a:schemeClr>
            </a:solidFill>
            <a:ln>
              <a:noFill/>
            </a:ln>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108</xdr:row>
          <xdr:rowOff>123825</xdr:rowOff>
        </xdr:from>
        <xdr:to>
          <xdr:col>12</xdr:col>
          <xdr:colOff>28575</xdr:colOff>
          <xdr:row>110</xdr:row>
          <xdr:rowOff>19050</xdr:rowOff>
        </xdr:to>
        <xdr:pic>
          <xdr:nvPicPr>
            <xdr:cNvPr id="2998859" name="Picture 9">
              <a:extLst>
                <a:ext uri="{FF2B5EF4-FFF2-40B4-BE49-F238E27FC236}">
                  <a16:creationId xmlns:a16="http://schemas.microsoft.com/office/drawing/2014/main" id="{00000000-0008-0000-0700-00004BC22D00}"/>
                </a:ext>
              </a:extLst>
            </xdr:cNvPr>
            <xdr:cNvPicPr preferRelativeResize="0">
              <a:picLocks noChangeArrowheads="1" noChangeShapeType="1"/>
              <a:extLst>
                <a:ext uri="{84589F7E-364E-4C9E-8A38-B11213B215E9}">
                  <a14:cameraTool cellRange="$J$98" spid="_x0000_s3033497"/>
                </a:ext>
              </a:extLst>
            </xdr:cNvPicPr>
          </xdr:nvPicPr>
          <xdr:blipFill>
            <a:blip xmlns:r="http://schemas.openxmlformats.org/officeDocument/2006/relationships" r:embed="rId8"/>
            <a:srcRect/>
            <a:stretch>
              <a:fillRect/>
            </a:stretch>
          </xdr:blipFill>
          <xdr:spPr bwMode="auto">
            <a:xfrm>
              <a:off x="3190875" y="21221700"/>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200025</xdr:colOff>
          <xdr:row>119</xdr:row>
          <xdr:rowOff>85725</xdr:rowOff>
        </xdr:from>
        <xdr:to>
          <xdr:col>13</xdr:col>
          <xdr:colOff>200025</xdr:colOff>
          <xdr:row>120</xdr:row>
          <xdr:rowOff>171450</xdr:rowOff>
        </xdr:to>
        <xdr:pic>
          <xdr:nvPicPr>
            <xdr:cNvPr id="2998860" name="Picture 10">
              <a:extLst>
                <a:ext uri="{FF2B5EF4-FFF2-40B4-BE49-F238E27FC236}">
                  <a16:creationId xmlns:a16="http://schemas.microsoft.com/office/drawing/2014/main" id="{00000000-0008-0000-0700-00004CC22D00}"/>
                </a:ext>
              </a:extLst>
            </xdr:cNvPr>
            <xdr:cNvPicPr preferRelativeResize="0">
              <a:picLocks noChangeArrowheads="1" noChangeShapeType="1"/>
              <a:extLst>
                <a:ext uri="{84589F7E-364E-4C9E-8A38-B11213B215E9}">
                  <a14:cameraTool cellRange="P98" spid="_x0000_s3033498"/>
                </a:ext>
              </a:extLst>
            </xdr:cNvPicPr>
          </xdr:nvPicPr>
          <xdr:blipFill>
            <a:blip xmlns:r="http://schemas.openxmlformats.org/officeDocument/2006/relationships" r:embed="rId8"/>
            <a:srcRect/>
            <a:stretch>
              <a:fillRect/>
            </a:stretch>
          </xdr:blipFill>
          <xdr:spPr bwMode="auto">
            <a:xfrm>
              <a:off x="3714750" y="23279100"/>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106</xdr:row>
          <xdr:rowOff>161925</xdr:rowOff>
        </xdr:from>
        <xdr:to>
          <xdr:col>2</xdr:col>
          <xdr:colOff>333375</xdr:colOff>
          <xdr:row>110</xdr:row>
          <xdr:rowOff>133350</xdr:rowOff>
        </xdr:to>
        <xdr:pic>
          <xdr:nvPicPr>
            <xdr:cNvPr id="2998861" name="Picture 11">
              <a:extLst>
                <a:ext uri="{FF2B5EF4-FFF2-40B4-BE49-F238E27FC236}">
                  <a16:creationId xmlns:a16="http://schemas.microsoft.com/office/drawing/2014/main" id="{00000000-0008-0000-0700-00004DC22D00}"/>
                </a:ext>
              </a:extLst>
            </xdr:cNvPr>
            <xdr:cNvPicPr preferRelativeResize="0">
              <a:picLocks noChangeArrowheads="1" noChangeShapeType="1"/>
              <a:extLst>
                <a:ext uri="{84589F7E-364E-4C9E-8A38-B11213B215E9}">
                  <a14:cameraTool cellRange="P96" spid="_x0000_s3033499"/>
                </a:ext>
              </a:extLst>
            </xdr:cNvPicPr>
          </xdr:nvPicPr>
          <xdr:blipFill>
            <a:blip xmlns:r="http://schemas.openxmlformats.org/officeDocument/2006/relationships" r:embed="rId8"/>
            <a:srcRect/>
            <a:stretch>
              <a:fillRect/>
            </a:stretch>
          </xdr:blipFill>
          <xdr:spPr bwMode="auto">
            <a:xfrm rot="-5400000">
              <a:off x="180975" y="21116925"/>
              <a:ext cx="733425" cy="257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125</xdr:row>
          <xdr:rowOff>161925</xdr:rowOff>
        </xdr:from>
        <xdr:to>
          <xdr:col>3</xdr:col>
          <xdr:colOff>257175</xdr:colOff>
          <xdr:row>127</xdr:row>
          <xdr:rowOff>57150</xdr:rowOff>
        </xdr:to>
        <xdr:pic>
          <xdr:nvPicPr>
            <xdr:cNvPr id="2998862" name="TextBox1">
              <a:extLst>
                <a:ext uri="{FF2B5EF4-FFF2-40B4-BE49-F238E27FC236}">
                  <a16:creationId xmlns:a16="http://schemas.microsoft.com/office/drawing/2014/main" id="{00000000-0008-0000-0700-00004EC22D00}"/>
                </a:ext>
              </a:extLst>
            </xdr:cNvPr>
            <xdr:cNvPicPr preferRelativeResize="0">
              <a:picLocks noChangeArrowheads="1" noChangeShapeType="1"/>
              <a:extLst>
                <a:ext uri="{84589F7E-364E-4C9E-8A38-B11213B215E9}">
                  <a14:cameraTool cellRange="N75" spid="_x0000_s3033500"/>
                </a:ext>
              </a:extLst>
            </xdr:cNvPicPr>
          </xdr:nvPicPr>
          <xdr:blipFill>
            <a:blip xmlns:r="http://schemas.openxmlformats.org/officeDocument/2006/relationships" r:embed="rId8"/>
            <a:srcRect/>
            <a:stretch>
              <a:fillRect/>
            </a:stretch>
          </xdr:blipFill>
          <xdr:spPr bwMode="auto">
            <a:xfrm>
              <a:off x="238125" y="24498300"/>
              <a:ext cx="714375"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123</xdr:row>
          <xdr:rowOff>57150</xdr:rowOff>
        </xdr:from>
        <xdr:to>
          <xdr:col>15</xdr:col>
          <xdr:colOff>314325</xdr:colOff>
          <xdr:row>124</xdr:row>
          <xdr:rowOff>142875</xdr:rowOff>
        </xdr:to>
        <xdr:pic>
          <xdr:nvPicPr>
            <xdr:cNvPr id="2998863" name="Picture 13">
              <a:extLst>
                <a:ext uri="{FF2B5EF4-FFF2-40B4-BE49-F238E27FC236}">
                  <a16:creationId xmlns:a16="http://schemas.microsoft.com/office/drawing/2014/main" id="{00000000-0008-0000-0700-00004FC22D00}"/>
                </a:ext>
              </a:extLst>
            </xdr:cNvPr>
            <xdr:cNvPicPr preferRelativeResize="0">
              <a:picLocks noChangeArrowheads="1" noChangeShapeType="1"/>
              <a:extLst>
                <a:ext uri="{84589F7E-364E-4C9E-8A38-B11213B215E9}">
                  <a14:cameraTool cellRange="K90" spid="_x0000_s3033501"/>
                </a:ext>
              </a:extLst>
            </xdr:cNvPicPr>
          </xdr:nvPicPr>
          <xdr:blipFill>
            <a:blip xmlns:r="http://schemas.openxmlformats.org/officeDocument/2006/relationships" r:embed="rId8"/>
            <a:srcRect/>
            <a:stretch>
              <a:fillRect/>
            </a:stretch>
          </xdr:blipFill>
          <xdr:spPr bwMode="auto">
            <a:xfrm>
              <a:off x="4533900" y="2401252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128</xdr:row>
          <xdr:rowOff>85725</xdr:rowOff>
        </xdr:from>
        <xdr:to>
          <xdr:col>11</xdr:col>
          <xdr:colOff>209550</xdr:colOff>
          <xdr:row>129</xdr:row>
          <xdr:rowOff>171450</xdr:rowOff>
        </xdr:to>
        <xdr:pic>
          <xdr:nvPicPr>
            <xdr:cNvPr id="2998864" name="Picture 15">
              <a:extLst>
                <a:ext uri="{FF2B5EF4-FFF2-40B4-BE49-F238E27FC236}">
                  <a16:creationId xmlns:a16="http://schemas.microsoft.com/office/drawing/2014/main" id="{00000000-0008-0000-0700-000050C22D00}"/>
                </a:ext>
              </a:extLst>
            </xdr:cNvPr>
            <xdr:cNvPicPr preferRelativeResize="0">
              <a:picLocks noChangeArrowheads="1" noChangeShapeType="1"/>
              <a:extLst>
                <a:ext uri="{84589F7E-364E-4C9E-8A38-B11213B215E9}">
                  <a14:cameraTool cellRange="C68" spid="_x0000_s3033502"/>
                </a:ext>
              </a:extLst>
            </xdr:cNvPicPr>
          </xdr:nvPicPr>
          <xdr:blipFill>
            <a:blip xmlns:r="http://schemas.openxmlformats.org/officeDocument/2006/relationships" r:embed="rId8"/>
            <a:srcRect/>
            <a:stretch>
              <a:fillRect/>
            </a:stretch>
          </xdr:blipFill>
          <xdr:spPr bwMode="auto">
            <a:xfrm>
              <a:off x="3019425" y="24993600"/>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133</xdr:row>
          <xdr:rowOff>114300</xdr:rowOff>
        </xdr:from>
        <xdr:to>
          <xdr:col>12</xdr:col>
          <xdr:colOff>19050</xdr:colOff>
          <xdr:row>135</xdr:row>
          <xdr:rowOff>9525</xdr:rowOff>
        </xdr:to>
        <xdr:pic>
          <xdr:nvPicPr>
            <xdr:cNvPr id="2998865" name="Picture 16">
              <a:extLst>
                <a:ext uri="{FF2B5EF4-FFF2-40B4-BE49-F238E27FC236}">
                  <a16:creationId xmlns:a16="http://schemas.microsoft.com/office/drawing/2014/main" id="{00000000-0008-0000-0700-000051C22D00}"/>
                </a:ext>
              </a:extLst>
            </xdr:cNvPr>
            <xdr:cNvPicPr preferRelativeResize="0">
              <a:picLocks noChangeArrowheads="1" noChangeShapeType="1"/>
              <a:extLst>
                <a:ext uri="{84589F7E-364E-4C9E-8A38-B11213B215E9}">
                  <a14:cameraTool cellRange="J38" spid="_x0000_s3033503"/>
                </a:ext>
              </a:extLst>
            </xdr:cNvPicPr>
          </xdr:nvPicPr>
          <xdr:blipFill>
            <a:blip xmlns:r="http://schemas.openxmlformats.org/officeDocument/2006/relationships" r:embed="rId8"/>
            <a:srcRect/>
            <a:stretch>
              <a:fillRect/>
            </a:stretch>
          </xdr:blipFill>
          <xdr:spPr bwMode="auto">
            <a:xfrm>
              <a:off x="3181350" y="25974675"/>
              <a:ext cx="704850" cy="2762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71</xdr:row>
          <xdr:rowOff>0</xdr:rowOff>
        </xdr:from>
        <xdr:to>
          <xdr:col>18</xdr:col>
          <xdr:colOff>19050</xdr:colOff>
          <xdr:row>73</xdr:row>
          <xdr:rowOff>0</xdr:rowOff>
        </xdr:to>
        <xdr:sp macro="" textlink="">
          <xdr:nvSpPr>
            <xdr:cNvPr id="2348414" name="Object 22910" hidden="1">
              <a:extLst>
                <a:ext uri="{63B3BB69-23CF-44E3-9099-C40C66FF867C}">
                  <a14:compatExt spid="_x0000_s2348414"/>
                </a:ext>
                <a:ext uri="{FF2B5EF4-FFF2-40B4-BE49-F238E27FC236}">
                  <a16:creationId xmlns:a16="http://schemas.microsoft.com/office/drawing/2014/main" id="{00000000-0008-0000-0700-00007ED52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81</xdr:row>
          <xdr:rowOff>38100</xdr:rowOff>
        </xdr:from>
        <xdr:to>
          <xdr:col>18</xdr:col>
          <xdr:colOff>0</xdr:colOff>
          <xdr:row>83</xdr:row>
          <xdr:rowOff>238125</xdr:rowOff>
        </xdr:to>
        <xdr:sp macro="" textlink="">
          <xdr:nvSpPr>
            <xdr:cNvPr id="2348440" name="Object 22936" hidden="1">
              <a:extLst>
                <a:ext uri="{63B3BB69-23CF-44E3-9099-C40C66FF867C}">
                  <a14:compatExt spid="_x0000_s2348440"/>
                </a:ext>
                <a:ext uri="{FF2B5EF4-FFF2-40B4-BE49-F238E27FC236}">
                  <a16:creationId xmlns:a16="http://schemas.microsoft.com/office/drawing/2014/main" id="{00000000-0008-0000-0700-000098D52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70</xdr:row>
          <xdr:rowOff>28575</xdr:rowOff>
        </xdr:from>
        <xdr:to>
          <xdr:col>36</xdr:col>
          <xdr:colOff>133350</xdr:colOff>
          <xdr:row>72</xdr:row>
          <xdr:rowOff>247650</xdr:rowOff>
        </xdr:to>
        <xdr:sp macro="" textlink="">
          <xdr:nvSpPr>
            <xdr:cNvPr id="2348441" name="Object 22937" hidden="1">
              <a:extLst>
                <a:ext uri="{63B3BB69-23CF-44E3-9099-C40C66FF867C}">
                  <a14:compatExt spid="_x0000_s2348441"/>
                </a:ext>
                <a:ext uri="{FF2B5EF4-FFF2-40B4-BE49-F238E27FC236}">
                  <a16:creationId xmlns:a16="http://schemas.microsoft.com/office/drawing/2014/main" id="{00000000-0008-0000-0700-000099D52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81</xdr:row>
          <xdr:rowOff>38100</xdr:rowOff>
        </xdr:from>
        <xdr:to>
          <xdr:col>36</xdr:col>
          <xdr:colOff>123825</xdr:colOff>
          <xdr:row>83</xdr:row>
          <xdr:rowOff>238125</xdr:rowOff>
        </xdr:to>
        <xdr:sp macro="" textlink="">
          <xdr:nvSpPr>
            <xdr:cNvPr id="2348442" name="Object 22938" hidden="1">
              <a:extLst>
                <a:ext uri="{63B3BB69-23CF-44E3-9099-C40C66FF867C}">
                  <a14:compatExt spid="_x0000_s2348442"/>
                </a:ext>
                <a:ext uri="{FF2B5EF4-FFF2-40B4-BE49-F238E27FC236}">
                  <a16:creationId xmlns:a16="http://schemas.microsoft.com/office/drawing/2014/main" id="{00000000-0008-0000-0700-00009AD52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130</xdr:row>
          <xdr:rowOff>161925</xdr:rowOff>
        </xdr:from>
        <xdr:to>
          <xdr:col>13</xdr:col>
          <xdr:colOff>38100</xdr:colOff>
          <xdr:row>132</xdr:row>
          <xdr:rowOff>0</xdr:rowOff>
        </xdr:to>
        <xdr:pic>
          <xdr:nvPicPr>
            <xdr:cNvPr id="2998866" name="Picture 16">
              <a:extLst>
                <a:ext uri="{FF2B5EF4-FFF2-40B4-BE49-F238E27FC236}">
                  <a16:creationId xmlns:a16="http://schemas.microsoft.com/office/drawing/2014/main" id="{00000000-0008-0000-0700-000052C22D00}"/>
                </a:ext>
              </a:extLst>
            </xdr:cNvPr>
            <xdr:cNvPicPr preferRelativeResize="0">
              <a:picLocks noChangeArrowheads="1" noChangeShapeType="1"/>
              <a:extLst>
                <a:ext uri="{84589F7E-364E-4C9E-8A38-B11213B215E9}">
                  <a14:cameraTool cellRange="H8" spid="_x0000_s3033504"/>
                </a:ext>
              </a:extLst>
            </xdr:cNvPicPr>
          </xdr:nvPicPr>
          <xdr:blipFill>
            <a:blip xmlns:r="http://schemas.openxmlformats.org/officeDocument/2006/relationships" r:embed="rId8"/>
            <a:srcRect/>
            <a:stretch>
              <a:fillRect/>
            </a:stretch>
          </xdr:blipFill>
          <xdr:spPr bwMode="auto">
            <a:xfrm>
              <a:off x="3638550" y="25450800"/>
              <a:ext cx="619125"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167640</xdr:colOff>
      <xdr:row>6</xdr:row>
      <xdr:rowOff>15240</xdr:rowOff>
    </xdr:from>
    <xdr:to>
      <xdr:col>18</xdr:col>
      <xdr:colOff>121920</xdr:colOff>
      <xdr:row>19</xdr:row>
      <xdr:rowOff>205740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273040" y="1653540"/>
          <a:ext cx="1051560" cy="2430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12</xdr:col>
      <xdr:colOff>312420</xdr:colOff>
      <xdr:row>18</xdr:row>
      <xdr:rowOff>99060</xdr:rowOff>
    </xdr:from>
    <xdr:to>
      <xdr:col>13</xdr:col>
      <xdr:colOff>350520</xdr:colOff>
      <xdr:row>19</xdr:row>
      <xdr:rowOff>0</xdr:rowOff>
    </xdr:to>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4320540" y="3726180"/>
          <a:ext cx="403860" cy="1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0.24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257175</xdr:rowOff>
    </xdr:from>
    <xdr:to>
      <xdr:col>4</xdr:col>
      <xdr:colOff>209550</xdr:colOff>
      <xdr:row>0</xdr:row>
      <xdr:rowOff>1038225</xdr:rowOff>
    </xdr:to>
    <xdr:pic>
      <xdr:nvPicPr>
        <xdr:cNvPr id="2974069" name="Picture 215" descr="mpca-center-4c">
          <a:extLst>
            <a:ext uri="{FF2B5EF4-FFF2-40B4-BE49-F238E27FC236}">
              <a16:creationId xmlns:a16="http://schemas.microsoft.com/office/drawing/2014/main" id="{00000000-0008-0000-0800-00007561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57175"/>
          <a:ext cx="14097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247650</xdr:colOff>
      <xdr:row>0</xdr:row>
      <xdr:rowOff>495300</xdr:rowOff>
    </xdr:from>
    <xdr:to>
      <xdr:col>15</xdr:col>
      <xdr:colOff>381000</xdr:colOff>
      <xdr:row>0</xdr:row>
      <xdr:rowOff>847725</xdr:rowOff>
    </xdr:to>
    <xdr:pic>
      <xdr:nvPicPr>
        <xdr:cNvPr id="2974070" name="Picture 7" descr="Cwdmk.tif">
          <a:extLst>
            <a:ext uri="{FF2B5EF4-FFF2-40B4-BE49-F238E27FC236}">
              <a16:creationId xmlns:a16="http://schemas.microsoft.com/office/drawing/2014/main" id="{00000000-0008-0000-0800-000076612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8400" y="495300"/>
          <a:ext cx="1162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28575</xdr:colOff>
      <xdr:row>0</xdr:row>
      <xdr:rowOff>390525</xdr:rowOff>
    </xdr:from>
    <xdr:to>
      <xdr:col>17</xdr:col>
      <xdr:colOff>438150</xdr:colOff>
      <xdr:row>0</xdr:row>
      <xdr:rowOff>952500</xdr:rowOff>
    </xdr:to>
    <xdr:pic>
      <xdr:nvPicPr>
        <xdr:cNvPr id="2974071" name="Picture 8" descr="ostp logo PANTONE 328.tif">
          <a:extLst>
            <a:ext uri="{FF2B5EF4-FFF2-40B4-BE49-F238E27FC236}">
              <a16:creationId xmlns:a16="http://schemas.microsoft.com/office/drawing/2014/main" id="{00000000-0008-0000-0800-000077612D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72375" y="390525"/>
          <a:ext cx="923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bata\Downloads\Mound%20&amp;%20At-Grade%20Desig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Basic"/>
      <sheetName val="Design Summary"/>
      <sheetName val="Design Sketch"/>
      <sheetName val="Trench"/>
      <sheetName val="Bed "/>
      <sheetName val="Mound &lt;1%"/>
      <sheetName val="Mound &gt;1%"/>
      <sheetName val="Mound Mat. (2)"/>
      <sheetName val="At-Grade"/>
      <sheetName val="Pres. Dist."/>
      <sheetName val="Non-Level Pres. Dist."/>
      <sheetName val="Pump-Basic (1) "/>
      <sheetName val="Pump Tank (1) Demand Dose"/>
      <sheetName val="Pump-Tank (1) Time Dose"/>
      <sheetName val="Pump-Basic (2)"/>
      <sheetName val="Pump Tank (2) Demand Dose"/>
      <sheetName val="Pump Tank (2) Time Dose"/>
      <sheetName val="Pump-Collection"/>
      <sheetName val="Table IX &amp; IXa"/>
      <sheetName val="Table I"/>
      <sheetName val="Table IV"/>
      <sheetName val="Drop-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A2">
            <v>0</v>
          </cell>
          <cell r="B2" t="str">
            <v>Sand</v>
          </cell>
          <cell r="G2">
            <v>4</v>
          </cell>
          <cell r="H2">
            <v>4</v>
          </cell>
          <cell r="I2">
            <v>1</v>
          </cell>
        </row>
        <row r="3">
          <cell r="A3">
            <v>1</v>
          </cell>
          <cell r="B3" t="str">
            <v>Coarse Sand</v>
          </cell>
          <cell r="G3">
            <v>3.85</v>
          </cell>
          <cell r="H3">
            <v>4.17</v>
          </cell>
          <cell r="I3">
            <v>1.25</v>
          </cell>
        </row>
        <row r="4">
          <cell r="A4">
            <v>2</v>
          </cell>
          <cell r="B4" t="str">
            <v>Loamy Sand</v>
          </cell>
          <cell r="G4">
            <v>3.7</v>
          </cell>
          <cell r="H4">
            <v>4.3499999999999996</v>
          </cell>
          <cell r="I4">
            <v>1.5</v>
          </cell>
        </row>
        <row r="5">
          <cell r="A5">
            <v>3</v>
          </cell>
          <cell r="B5" t="str">
            <v>Loamy Coarse Sand</v>
          </cell>
          <cell r="G5">
            <v>3.57</v>
          </cell>
          <cell r="H5">
            <v>4.54</v>
          </cell>
          <cell r="I5">
            <v>2</v>
          </cell>
        </row>
        <row r="6">
          <cell r="A6">
            <v>4</v>
          </cell>
          <cell r="B6" t="str">
            <v>Fine Sand</v>
          </cell>
          <cell r="G6">
            <v>3.45</v>
          </cell>
          <cell r="H6">
            <v>4.76</v>
          </cell>
          <cell r="I6">
            <v>3</v>
          </cell>
        </row>
        <row r="7">
          <cell r="A7">
            <v>5</v>
          </cell>
          <cell r="B7" t="str">
            <v>Very Fine Sand</v>
          </cell>
          <cell r="G7">
            <v>3.33</v>
          </cell>
          <cell r="H7">
            <v>5</v>
          </cell>
          <cell r="I7">
            <v>4</v>
          </cell>
        </row>
        <row r="8">
          <cell r="A8">
            <v>6</v>
          </cell>
          <cell r="B8" t="str">
            <v>Loamy Fine Sand</v>
          </cell>
          <cell r="G8">
            <v>3.23</v>
          </cell>
          <cell r="H8">
            <v>5.26</v>
          </cell>
          <cell r="I8">
            <v>6</v>
          </cell>
        </row>
        <row r="9">
          <cell r="A9">
            <v>7</v>
          </cell>
          <cell r="B9" t="str">
            <v>Loamy Very Fine Sand</v>
          </cell>
          <cell r="G9">
            <v>3.12</v>
          </cell>
          <cell r="H9">
            <v>5.56</v>
          </cell>
        </row>
        <row r="10">
          <cell r="A10">
            <v>8</v>
          </cell>
          <cell r="B10" t="str">
            <v>Sandy Loam</v>
          </cell>
          <cell r="G10">
            <v>3.03</v>
          </cell>
          <cell r="H10">
            <v>5.88</v>
          </cell>
        </row>
        <row r="11">
          <cell r="A11">
            <v>9</v>
          </cell>
          <cell r="B11" t="str">
            <v>Coarse Sandy Loam</v>
          </cell>
          <cell r="G11">
            <v>2.94</v>
          </cell>
          <cell r="H11">
            <v>6.25</v>
          </cell>
        </row>
        <row r="12">
          <cell r="A12">
            <v>10</v>
          </cell>
          <cell r="B12" t="str">
            <v>Loam</v>
          </cell>
          <cell r="G12">
            <v>2.86</v>
          </cell>
          <cell r="H12">
            <v>6.67</v>
          </cell>
        </row>
        <row r="13">
          <cell r="A13">
            <v>11</v>
          </cell>
          <cell r="B13" t="str">
            <v>Fine Sandy Loam</v>
          </cell>
          <cell r="G13">
            <v>2.78</v>
          </cell>
          <cell r="H13">
            <v>7.14</v>
          </cell>
        </row>
        <row r="14">
          <cell r="A14">
            <v>12</v>
          </cell>
          <cell r="B14" t="str">
            <v>Very Fine Sandy Loam</v>
          </cell>
          <cell r="G14">
            <v>2.7</v>
          </cell>
          <cell r="H14">
            <v>7.69</v>
          </cell>
        </row>
        <row r="15">
          <cell r="A15">
            <v>13</v>
          </cell>
          <cell r="B15" t="str">
            <v>Silt Loam</v>
          </cell>
          <cell r="G15">
            <v>2.62</v>
          </cell>
          <cell r="H15">
            <v>8.2899999999999991</v>
          </cell>
        </row>
        <row r="16">
          <cell r="A16">
            <v>14</v>
          </cell>
          <cell r="B16" t="str">
            <v>Silt</v>
          </cell>
          <cell r="G16">
            <v>2.5499999999999998</v>
          </cell>
          <cell r="H16">
            <v>8.9149999999999991</v>
          </cell>
        </row>
        <row r="17">
          <cell r="A17">
            <v>15</v>
          </cell>
          <cell r="B17" t="str">
            <v>Clay Loam</v>
          </cell>
          <cell r="G17">
            <v>2.48</v>
          </cell>
          <cell r="H17">
            <v>9.5649999999999995</v>
          </cell>
          <cell r="J17">
            <v>1</v>
          </cell>
        </row>
        <row r="18">
          <cell r="A18">
            <v>16</v>
          </cell>
          <cell r="B18" t="str">
            <v>Sandy Clay Loam</v>
          </cell>
          <cell r="G18">
            <v>2.41</v>
          </cell>
          <cell r="H18">
            <v>10.24</v>
          </cell>
          <cell r="J18">
            <v>1.5</v>
          </cell>
        </row>
        <row r="19">
          <cell r="A19">
            <v>17</v>
          </cell>
          <cell r="B19" t="str">
            <v>Silty Clay Loam</v>
          </cell>
          <cell r="G19">
            <v>2.35</v>
          </cell>
          <cell r="H19">
            <v>10.94</v>
          </cell>
          <cell r="J19">
            <v>1.6</v>
          </cell>
        </row>
        <row r="20">
          <cell r="A20">
            <v>18</v>
          </cell>
          <cell r="B20" t="str">
            <v>Sandy Clay</v>
          </cell>
          <cell r="G20">
            <v>2.29</v>
          </cell>
          <cell r="H20">
            <v>11.664999999999999</v>
          </cell>
          <cell r="J20">
            <v>1.8</v>
          </cell>
        </row>
        <row r="21">
          <cell r="A21">
            <v>19</v>
          </cell>
          <cell r="B21" t="str">
            <v>Silty Clay</v>
          </cell>
          <cell r="G21">
            <v>2.23</v>
          </cell>
          <cell r="H21">
            <v>12.414999999999999</v>
          </cell>
          <cell r="J21">
            <v>2</v>
          </cell>
        </row>
        <row r="22">
          <cell r="A22">
            <v>20</v>
          </cell>
          <cell r="B22" t="str">
            <v>Clay</v>
          </cell>
          <cell r="G22">
            <v>2.1800000000000002</v>
          </cell>
          <cell r="H22">
            <v>13.19</v>
          </cell>
          <cell r="J22">
            <v>2.1</v>
          </cell>
        </row>
        <row r="23">
          <cell r="A23">
            <v>21</v>
          </cell>
          <cell r="B23" t="str">
            <v>Bedrock</v>
          </cell>
          <cell r="G23">
            <v>2.13</v>
          </cell>
          <cell r="H23">
            <v>13.99</v>
          </cell>
          <cell r="J23">
            <v>2.2999999999999998</v>
          </cell>
        </row>
        <row r="24">
          <cell r="A24">
            <v>22</v>
          </cell>
          <cell r="B24" t="str">
            <v>Organic</v>
          </cell>
          <cell r="D24" t="str">
            <v>1/8</v>
          </cell>
          <cell r="G24">
            <v>2.08</v>
          </cell>
          <cell r="H24">
            <v>14.815</v>
          </cell>
          <cell r="J24">
            <v>2.4</v>
          </cell>
        </row>
        <row r="25">
          <cell r="A25">
            <v>23</v>
          </cell>
          <cell r="B25" t="str">
            <v>Fill Soil</v>
          </cell>
          <cell r="D25" t="str">
            <v>3/16</v>
          </cell>
          <cell r="G25">
            <v>2.0299999999999998</v>
          </cell>
          <cell r="H25">
            <v>15.664999999999999</v>
          </cell>
          <cell r="J25">
            <v>2.5</v>
          </cell>
        </row>
        <row r="26">
          <cell r="A26">
            <v>24</v>
          </cell>
          <cell r="D26" t="str">
            <v>7/32</v>
          </cell>
          <cell r="G26">
            <v>1.98</v>
          </cell>
          <cell r="H26">
            <v>16.54</v>
          </cell>
          <cell r="J26">
            <v>2.6</v>
          </cell>
        </row>
        <row r="27">
          <cell r="A27">
            <v>25</v>
          </cell>
          <cell r="D27" t="str">
            <v>1/4</v>
          </cell>
          <cell r="G27">
            <v>1.93</v>
          </cell>
          <cell r="H27">
            <v>17.440000000000001</v>
          </cell>
          <cell r="J27">
            <v>2.7</v>
          </cell>
        </row>
        <row r="28">
          <cell r="A28">
            <v>26</v>
          </cell>
          <cell r="C28">
            <v>0.3</v>
          </cell>
          <cell r="J28">
            <v>2.9</v>
          </cell>
        </row>
        <row r="29">
          <cell r="A29">
            <v>27</v>
          </cell>
          <cell r="C29">
            <v>0.42</v>
          </cell>
          <cell r="J29">
            <v>5</v>
          </cell>
        </row>
        <row r="30">
          <cell r="A30">
            <v>28</v>
          </cell>
          <cell r="B30">
            <v>2</v>
          </cell>
          <cell r="C30">
            <v>0.45</v>
          </cell>
          <cell r="G30">
            <v>1</v>
          </cell>
          <cell r="J30">
            <v>5.3</v>
          </cell>
        </row>
        <row r="31">
          <cell r="A31">
            <v>29</v>
          </cell>
          <cell r="B31">
            <v>3</v>
          </cell>
          <cell r="C31">
            <v>0.5</v>
          </cell>
          <cell r="G31">
            <v>2</v>
          </cell>
        </row>
        <row r="32">
          <cell r="A32">
            <v>30</v>
          </cell>
          <cell r="C32">
            <v>0.52</v>
          </cell>
          <cell r="G32">
            <v>3</v>
          </cell>
        </row>
        <row r="33">
          <cell r="C33">
            <v>0.6</v>
          </cell>
          <cell r="G33">
            <v>4</v>
          </cell>
        </row>
        <row r="34">
          <cell r="C34">
            <v>0.65</v>
          </cell>
          <cell r="G34">
            <v>5</v>
          </cell>
          <cell r="J34">
            <v>0.5</v>
          </cell>
        </row>
        <row r="35">
          <cell r="C35">
            <v>0.68</v>
          </cell>
          <cell r="G35">
            <v>6</v>
          </cell>
          <cell r="J35">
            <v>0.75</v>
          </cell>
        </row>
        <row r="36">
          <cell r="C36">
            <v>0.78</v>
          </cell>
          <cell r="G36">
            <v>7</v>
          </cell>
          <cell r="J36">
            <v>1</v>
          </cell>
        </row>
        <row r="37">
          <cell r="C37">
            <v>0.87</v>
          </cell>
          <cell r="G37">
            <v>8</v>
          </cell>
        </row>
        <row r="38">
          <cell r="C38">
            <v>1</v>
          </cell>
          <cell r="G38">
            <v>9</v>
          </cell>
        </row>
        <row r="39">
          <cell r="C39">
            <v>1.2</v>
          </cell>
          <cell r="G39">
            <v>10</v>
          </cell>
        </row>
        <row r="40">
          <cell r="C40">
            <v>1.6</v>
          </cell>
          <cell r="G40">
            <v>11</v>
          </cell>
        </row>
        <row r="41">
          <cell r="E41" t="str">
            <v>0</v>
          </cell>
          <cell r="G41">
            <v>12</v>
          </cell>
        </row>
        <row r="42">
          <cell r="B42">
            <v>2</v>
          </cell>
          <cell r="D42">
            <v>1.2</v>
          </cell>
          <cell r="E42">
            <v>5</v>
          </cell>
          <cell r="G42">
            <v>13</v>
          </cell>
        </row>
        <row r="43">
          <cell r="B43">
            <v>2.5</v>
          </cell>
          <cell r="D43">
            <v>1</v>
          </cell>
          <cell r="E43">
            <v>6</v>
          </cell>
          <cell r="G43">
            <v>14</v>
          </cell>
        </row>
        <row r="44">
          <cell r="B44">
            <v>3</v>
          </cell>
          <cell r="C44">
            <v>1</v>
          </cell>
          <cell r="D44">
            <v>1.6</v>
          </cell>
          <cell r="E44">
            <v>6.5</v>
          </cell>
          <cell r="G44">
            <v>15</v>
          </cell>
        </row>
        <row r="45">
          <cell r="C45">
            <v>2</v>
          </cell>
          <cell r="E45">
            <v>10</v>
          </cell>
          <cell r="G45">
            <v>16</v>
          </cell>
        </row>
        <row r="46">
          <cell r="C46">
            <v>2.5</v>
          </cell>
          <cell r="G46">
            <v>17</v>
          </cell>
        </row>
        <row r="47">
          <cell r="C47">
            <v>5</v>
          </cell>
          <cell r="G47">
            <v>18</v>
          </cell>
        </row>
        <row r="48">
          <cell r="G48">
            <v>19</v>
          </cell>
        </row>
        <row r="49">
          <cell r="G49">
            <v>20</v>
          </cell>
          <cell r="J49" t="str">
            <v>Pressure distribution</v>
          </cell>
        </row>
        <row r="50">
          <cell r="J50" t="str">
            <v>Serial distribution in 15% sections</v>
          </cell>
        </row>
        <row r="51">
          <cell r="J51" t="str">
            <v>5 feet of separation</v>
          </cell>
        </row>
        <row r="53">
          <cell r="B53" t="str">
            <v>Demand Dosing Soil Treatment</v>
          </cell>
        </row>
        <row r="54">
          <cell r="B54" t="str">
            <v>Time Dosing Soil Treatment</v>
          </cell>
        </row>
        <row r="62">
          <cell r="F62" t="str">
            <v>Type I</v>
          </cell>
          <cell r="J62" t="str">
            <v>Nitrogen</v>
          </cell>
          <cell r="L62" t="str">
            <v>Trench</v>
          </cell>
        </row>
        <row r="63">
          <cell r="F63" t="str">
            <v>Type II</v>
          </cell>
          <cell r="J63" t="str">
            <v>Phosphorus</v>
          </cell>
          <cell r="L63" t="str">
            <v>Bed</v>
          </cell>
        </row>
        <row r="64">
          <cell r="F64" t="str">
            <v>Type III</v>
          </cell>
          <cell r="J64" t="str">
            <v>Nitrogen &amp; Phosphorus</v>
          </cell>
          <cell r="L64" t="str">
            <v>Mound</v>
          </cell>
        </row>
        <row r="65">
          <cell r="F65" t="str">
            <v>Type IV</v>
          </cell>
          <cell r="L65" t="str">
            <v>At-Grade</v>
          </cell>
        </row>
        <row r="66">
          <cell r="F66" t="str">
            <v>Type V</v>
          </cell>
          <cell r="L66" t="str">
            <v>Drip</v>
          </cell>
        </row>
        <row r="67">
          <cell r="J67" t="str">
            <v>A</v>
          </cell>
        </row>
        <row r="68">
          <cell r="J68" t="str">
            <v>A-2</v>
          </cell>
        </row>
        <row r="69">
          <cell r="J69" t="str">
            <v>B</v>
          </cell>
          <cell r="L69" t="str">
            <v>Gravity Distribution</v>
          </cell>
        </row>
        <row r="70">
          <cell r="J70" t="str">
            <v>B-2</v>
          </cell>
          <cell r="L70" t="str">
            <v>Pressure Distribution-Level</v>
          </cell>
        </row>
        <row r="71">
          <cell r="J71" t="str">
            <v>C</v>
          </cell>
          <cell r="L71" t="str">
            <v>Pressure Distribution-Unlevel</v>
          </cell>
        </row>
        <row r="74">
          <cell r="J74" t="str">
            <v>Residential</v>
          </cell>
          <cell r="L74" t="str">
            <v>Gravity</v>
          </cell>
        </row>
        <row r="75">
          <cell r="J75" t="str">
            <v>Commercial</v>
          </cell>
          <cell r="L75" t="str">
            <v>Pressure</v>
          </cell>
        </row>
        <row r="76">
          <cell r="J76" t="str">
            <v>Industrial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7" Type="http://schemas.openxmlformats.org/officeDocument/2006/relationships/ctrlProp" Target="../ctrlProps/ctrlProp3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32.xml"/><Relationship Id="rId5" Type="http://schemas.openxmlformats.org/officeDocument/2006/relationships/vmlDrawing" Target="../drawings/vmlDrawing8.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printerSettings" Target="../printerSettings/printerSettings26.bin"/><Relationship Id="rId7" Type="http://schemas.openxmlformats.org/officeDocument/2006/relationships/image" Target="../media/image63.emf"/><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printerSettings" Target="../printerSettings/printerSettings25.bin"/><Relationship Id="rId16" Type="http://schemas.openxmlformats.org/officeDocument/2006/relationships/ctrlProp" Target="../ctrlProps/ctrlProp42.xml"/><Relationship Id="rId1" Type="http://schemas.openxmlformats.org/officeDocument/2006/relationships/printerSettings" Target="../printerSettings/printerSettings24.bin"/><Relationship Id="rId6" Type="http://schemas.openxmlformats.org/officeDocument/2006/relationships/oleObject" Target="../embeddings/oleObject5.bin"/><Relationship Id="rId11" Type="http://schemas.openxmlformats.org/officeDocument/2006/relationships/ctrlProp" Target="../ctrlProps/ctrlProp37.xml"/><Relationship Id="rId5" Type="http://schemas.openxmlformats.org/officeDocument/2006/relationships/vmlDrawing" Target="../drawings/vmlDrawing9.v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drawing" Target="../drawings/drawing12.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drawing" Target="../drawings/drawing19.xml"/><Relationship Id="rId7" Type="http://schemas.openxmlformats.org/officeDocument/2006/relationships/ctrlProp" Target="../ctrlProps/ctrlProp4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image" Target="../media/image73.emf"/><Relationship Id="rId5" Type="http://schemas.openxmlformats.org/officeDocument/2006/relationships/oleObject" Target="../embeddings/oleObject6.bin"/><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penoffice.org/" TargetMode="External"/><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5.bin"/><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printerSettings" Target="../printerSettings/printerSettings4.bin"/><Relationship Id="rId16" Type="http://schemas.openxmlformats.org/officeDocument/2006/relationships/ctrlProp" Target="../ctrlProps/ctrlProp10.xml"/><Relationship Id="rId1" Type="http://schemas.openxmlformats.org/officeDocument/2006/relationships/printerSettings" Target="../printerSettings/printerSettings3.bin"/><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3.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drawing" Target="../drawings/drawing4.x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printerSettings" Target="../printerSettings/printerSettings7.bin"/><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vmlDrawing" Target="../drawings/vmlDrawing3.v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control" Target="../activeX/activeX5.xml"/><Relationship Id="rId3" Type="http://schemas.openxmlformats.org/officeDocument/2006/relationships/drawing" Target="../drawings/drawing5.xml"/><Relationship Id="rId7" Type="http://schemas.openxmlformats.org/officeDocument/2006/relationships/control" Target="../activeX/activeX2.xml"/><Relationship Id="rId12" Type="http://schemas.openxmlformats.org/officeDocument/2006/relationships/image" Target="../media/image17.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image" Target="../media/image14.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16.emf"/><Relationship Id="rId4" Type="http://schemas.openxmlformats.org/officeDocument/2006/relationships/vmlDrawing" Target="../drawings/vmlDrawing4.vml"/><Relationship Id="rId9" Type="http://schemas.openxmlformats.org/officeDocument/2006/relationships/control" Target="../activeX/activeX3.xml"/><Relationship Id="rId14" Type="http://schemas.openxmlformats.org/officeDocument/2006/relationships/image" Target="../media/image18.emf"/></Relationships>
</file>

<file path=xl/worksheets/_rels/sheet6.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drawing" Target="../drawings/drawing6.xml"/><Relationship Id="rId7" Type="http://schemas.openxmlformats.org/officeDocument/2006/relationships/control" Target="../activeX/activeX7.xml"/><Relationship Id="rId12" Type="http://schemas.openxmlformats.org/officeDocument/2006/relationships/image" Target="../media/image25.emf"/><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image" Target="../media/image22.emf"/><Relationship Id="rId11" Type="http://schemas.openxmlformats.org/officeDocument/2006/relationships/control" Target="../activeX/activeX9.xml"/><Relationship Id="rId5" Type="http://schemas.openxmlformats.org/officeDocument/2006/relationships/control" Target="../activeX/activeX6.xml"/><Relationship Id="rId10" Type="http://schemas.openxmlformats.org/officeDocument/2006/relationships/image" Target="../media/image24.emf"/><Relationship Id="rId4" Type="http://schemas.openxmlformats.org/officeDocument/2006/relationships/vmlDrawing" Target="../drawings/vmlDrawing5.vml"/><Relationship Id="rId9" Type="http://schemas.openxmlformats.org/officeDocument/2006/relationships/control" Target="../activeX/activeX8.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image" Target="../media/image36.emf"/><Relationship Id="rId3" Type="http://schemas.openxmlformats.org/officeDocument/2006/relationships/drawing" Target="../drawings/drawing8.xml"/><Relationship Id="rId7" Type="http://schemas.openxmlformats.org/officeDocument/2006/relationships/oleObject" Target="../embeddings/oleObject2.bin"/><Relationship Id="rId12" Type="http://schemas.openxmlformats.org/officeDocument/2006/relationships/image" Target="../media/image38.emf"/><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image" Target="../media/image35.emf"/><Relationship Id="rId11" Type="http://schemas.openxmlformats.org/officeDocument/2006/relationships/oleObject" Target="../embeddings/oleObject4.bin"/><Relationship Id="rId5" Type="http://schemas.openxmlformats.org/officeDocument/2006/relationships/oleObject" Target="../embeddings/oleObject1.bin"/><Relationship Id="rId10" Type="http://schemas.openxmlformats.org/officeDocument/2006/relationships/image" Target="../media/image37.emf"/><Relationship Id="rId4" Type="http://schemas.openxmlformats.org/officeDocument/2006/relationships/vmlDrawing" Target="../drawings/vmlDrawing7.vml"/><Relationship Id="rId9" Type="http://schemas.openxmlformats.org/officeDocument/2006/relationships/oleObject" Target="../embeddings/oleObject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3:I15"/>
  <sheetViews>
    <sheetView tabSelected="1" workbookViewId="0">
      <selection activeCell="E31" sqref="E31"/>
    </sheetView>
  </sheetViews>
  <sheetFormatPr defaultColWidth="9" defaultRowHeight="12.75"/>
  <cols>
    <col min="1" max="1" width="14.5703125" style="384" customWidth="1"/>
    <col min="2" max="2" width="4.85546875" style="384" customWidth="1"/>
    <col min="3" max="16384" width="9" style="384"/>
  </cols>
  <sheetData>
    <row r="3" spans="1:9" ht="13.15" customHeight="1">
      <c r="B3" s="1022" t="s">
        <v>1329</v>
      </c>
      <c r="C3" s="1022"/>
      <c r="D3" s="1022"/>
      <c r="E3" s="1022"/>
      <c r="F3" s="1022"/>
      <c r="G3" s="1022"/>
      <c r="H3" s="1022"/>
      <c r="I3" s="1022"/>
    </row>
    <row r="4" spans="1:9" ht="13.15" customHeight="1">
      <c r="B4" s="1022"/>
      <c r="C4" s="1022"/>
      <c r="D4" s="1022"/>
      <c r="E4" s="1022"/>
      <c r="F4" s="1022"/>
      <c r="G4" s="1022"/>
      <c r="H4" s="1022"/>
      <c r="I4" s="1022"/>
    </row>
    <row r="5" spans="1:9">
      <c r="C5" s="942" t="s">
        <v>1289</v>
      </c>
      <c r="D5" s="384" t="s">
        <v>1328</v>
      </c>
    </row>
    <row r="9" spans="1:9">
      <c r="A9" s="1021" t="s">
        <v>1327</v>
      </c>
      <c r="B9" s="1021"/>
      <c r="C9" s="384" t="s">
        <v>1326</v>
      </c>
    </row>
    <row r="10" spans="1:9">
      <c r="C10" s="384" t="s">
        <v>1325</v>
      </c>
    </row>
    <row r="11" spans="1:9">
      <c r="C11" s="384" t="s">
        <v>1324</v>
      </c>
    </row>
    <row r="12" spans="1:9">
      <c r="C12" s="384" t="s">
        <v>1323</v>
      </c>
    </row>
    <row r="14" spans="1:9">
      <c r="C14" s="384" t="s">
        <v>1322</v>
      </c>
    </row>
    <row r="15" spans="1:9">
      <c r="C15" s="384" t="s">
        <v>1321</v>
      </c>
    </row>
  </sheetData>
  <sheetProtection sheet="1" objects="1" scenarios="1"/>
  <mergeCells count="2">
    <mergeCell ref="A9:B9"/>
    <mergeCell ref="B3:I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3399"/>
  </sheetPr>
  <dimension ref="A1:AS185"/>
  <sheetViews>
    <sheetView showGridLines="0" view="pageBreakPreview" zoomScaleNormal="100" zoomScaleSheetLayoutView="100" workbookViewId="0">
      <selection activeCell="H92" sqref="H92"/>
    </sheetView>
  </sheetViews>
  <sheetFormatPr defaultColWidth="4.28515625" defaultRowHeight="14.1" customHeight="1"/>
  <cols>
    <col min="1" max="1" width="2.5703125" style="8" customWidth="1"/>
    <col min="2" max="2" width="2.5703125" style="1" customWidth="1"/>
    <col min="3" max="14" width="7.7109375" style="1" customWidth="1"/>
    <col min="15" max="17" width="7.7109375" style="424" customWidth="1"/>
    <col min="18" max="33" width="5.7109375" style="1" customWidth="1"/>
    <col min="34" max="35" width="5.7109375" style="83" customWidth="1"/>
    <col min="36" max="40" width="5.7109375" style="1" customWidth="1"/>
    <col min="41" max="41" width="4.28515625" style="1"/>
    <col min="42" max="42" width="4.7109375" style="1" bestFit="1" customWidth="1"/>
    <col min="43" max="44" width="5.140625" style="1" bestFit="1" customWidth="1"/>
    <col min="45" max="45" width="6.7109375" style="1" customWidth="1"/>
    <col min="46" max="16384" width="4.28515625" style="1"/>
  </cols>
  <sheetData>
    <row r="1" spans="1:45" ht="63.75" customHeight="1" thickBot="1">
      <c r="B1" s="250"/>
      <c r="C1" s="250"/>
      <c r="D1" s="250"/>
      <c r="E1" s="1367" t="s">
        <v>774</v>
      </c>
      <c r="F1" s="1367"/>
      <c r="G1" s="1367"/>
      <c r="H1" s="1367"/>
      <c r="I1" s="1367"/>
      <c r="J1" s="1367"/>
      <c r="K1" s="929"/>
      <c r="L1" s="929"/>
      <c r="M1" s="929"/>
      <c r="N1" s="250"/>
      <c r="O1" s="538"/>
      <c r="P1" s="538"/>
      <c r="Q1" s="538"/>
      <c r="R1" s="520"/>
      <c r="S1" s="520"/>
      <c r="T1" s="520"/>
      <c r="U1" s="520"/>
      <c r="V1" s="27"/>
      <c r="W1" s="521"/>
    </row>
    <row r="2" spans="1:45" ht="16.350000000000001" customHeight="1" thickBot="1">
      <c r="A2" s="522" t="s">
        <v>93</v>
      </c>
      <c r="B2" s="388"/>
      <c r="C2" s="896" t="s">
        <v>497</v>
      </c>
      <c r="D2" s="896"/>
      <c r="E2" s="896"/>
      <c r="F2" s="896"/>
      <c r="G2" s="896"/>
      <c r="H2" s="896"/>
      <c r="I2" s="1345" t="s">
        <v>832</v>
      </c>
      <c r="J2" s="1345"/>
      <c r="K2" s="1346" t="str">
        <f>IF(ISBLANK('Design Summary'!Q3)," ",'Design Summary'!Q3)</f>
        <v xml:space="preserve"> </v>
      </c>
      <c r="L2" s="1346"/>
      <c r="M2" s="896"/>
      <c r="N2" s="922" t="str">
        <f>'Drop-Down Lists'!J40</f>
        <v>v 04.20.2016</v>
      </c>
      <c r="O2" s="536"/>
      <c r="P2" s="536"/>
      <c r="R2" s="8"/>
      <c r="AQ2" s="83">
        <v>0</v>
      </c>
      <c r="AR2" s="85">
        <v>4</v>
      </c>
      <c r="AS2" s="26">
        <v>4</v>
      </c>
    </row>
    <row r="3" spans="1:45" ht="6" customHeight="1">
      <c r="A3" s="523"/>
      <c r="N3" s="2"/>
      <c r="AH3" s="1"/>
      <c r="AI3" s="1"/>
      <c r="AQ3" s="84">
        <v>1</v>
      </c>
      <c r="AR3" s="85">
        <v>3.85</v>
      </c>
      <c r="AS3" s="26">
        <v>4.0999999999999996</v>
      </c>
    </row>
    <row r="4" spans="1:45" ht="19.899999999999999" customHeight="1">
      <c r="A4" s="441"/>
      <c r="B4" s="8" t="s">
        <v>154</v>
      </c>
      <c r="C4" s="7" t="s">
        <v>316</v>
      </c>
      <c r="D4" s="7"/>
      <c r="E4" s="7"/>
      <c r="F4" s="961" t="str">
        <f>IF('Design Summary'!Y40=0,"",IF('Design Summary'!Y40=3,'Design Summary'!D9,""))</f>
        <v/>
      </c>
      <c r="G4" s="962"/>
      <c r="H4" s="8" t="s">
        <v>317</v>
      </c>
      <c r="I4" s="22" t="s">
        <v>156</v>
      </c>
      <c r="J4" s="7" t="s">
        <v>889</v>
      </c>
      <c r="M4" s="533" t="str">
        <f>IF('Design Summary'!Y40=0,"",IF('Design Summary'!Y40=3,'Design Summary'!F60,""))</f>
        <v/>
      </c>
      <c r="N4" s="443" t="s">
        <v>526</v>
      </c>
      <c r="AH4" s="1"/>
      <c r="AI4" s="1"/>
      <c r="AQ4" s="84">
        <v>2</v>
      </c>
      <c r="AR4" s="85">
        <v>3.7</v>
      </c>
      <c r="AS4" s="26">
        <v>4.17</v>
      </c>
    </row>
    <row r="5" spans="1:45" ht="6" customHeight="1">
      <c r="A5" s="442"/>
      <c r="B5" s="7"/>
      <c r="C5" s="7"/>
      <c r="D5" s="7"/>
      <c r="E5" s="7"/>
      <c r="H5" s="78"/>
      <c r="I5" s="22"/>
      <c r="N5" s="2"/>
      <c r="AH5" s="1"/>
      <c r="AI5" s="1"/>
      <c r="AQ5" s="84">
        <v>3</v>
      </c>
      <c r="AR5" s="85">
        <v>3.57</v>
      </c>
      <c r="AS5" s="26">
        <v>4.3499999999999996</v>
      </c>
    </row>
    <row r="6" spans="1:45" ht="19.899999999999999" customHeight="1">
      <c r="A6" s="441"/>
      <c r="B6" s="8" t="s">
        <v>527</v>
      </c>
      <c r="C6" s="7" t="s">
        <v>888</v>
      </c>
      <c r="D6" s="36"/>
      <c r="E6" s="36"/>
      <c r="F6" s="1087" t="str">
        <f>IF('Design Summary'!Y40=0,"",IF('Design Summary'!Y40=3,'Design Summary'!P52,""))</f>
        <v/>
      </c>
      <c r="G6" s="1088"/>
      <c r="H6" s="8" t="s">
        <v>91</v>
      </c>
      <c r="I6" s="22" t="s">
        <v>476</v>
      </c>
      <c r="J6" s="7" t="s">
        <v>285</v>
      </c>
      <c r="M6" s="943"/>
      <c r="N6" s="443" t="s">
        <v>595</v>
      </c>
      <c r="AH6" s="1"/>
      <c r="AI6" s="1"/>
      <c r="AQ6" s="84">
        <v>6</v>
      </c>
      <c r="AR6" s="85">
        <v>3.23</v>
      </c>
      <c r="AS6" s="26">
        <v>5</v>
      </c>
    </row>
    <row r="7" spans="1:45" ht="15" customHeight="1">
      <c r="A7" s="441"/>
      <c r="B7" s="8" t="s">
        <v>477</v>
      </c>
      <c r="C7" s="7" t="s">
        <v>82</v>
      </c>
      <c r="D7" s="36"/>
      <c r="E7" s="36"/>
      <c r="F7" s="36"/>
      <c r="G7" s="36"/>
      <c r="H7" s="36"/>
      <c r="I7" s="36"/>
      <c r="J7" s="36"/>
      <c r="K7" s="36"/>
      <c r="L7" s="534" t="s">
        <v>895</v>
      </c>
      <c r="M7" s="36"/>
      <c r="N7" s="923"/>
      <c r="AH7" s="1"/>
      <c r="AI7" s="1"/>
      <c r="AQ7" s="84">
        <v>11</v>
      </c>
      <c r="AR7" s="85">
        <v>2.78</v>
      </c>
      <c r="AS7" s="26">
        <v>6.67</v>
      </c>
    </row>
    <row r="8" spans="1:45" ht="19.899999999999999" customHeight="1">
      <c r="A8" s="523"/>
      <c r="C8" s="961" t="str">
        <f>IF(ISBLANK(M6),"",M6)</f>
        <v/>
      </c>
      <c r="D8" s="962"/>
      <c r="E8" s="1136" t="s">
        <v>84</v>
      </c>
      <c r="F8" s="1137"/>
      <c r="G8" s="1087" t="str">
        <f>IF(ISBLANK(M6),"",F6)</f>
        <v/>
      </c>
      <c r="H8" s="1088"/>
      <c r="I8" s="1136" t="s">
        <v>65</v>
      </c>
      <c r="J8" s="1137"/>
      <c r="K8" s="967" t="str">
        <f>IF(ISBLANK(M6),"",C8/G8)</f>
        <v/>
      </c>
      <c r="L8" s="968"/>
      <c r="M8" s="8" t="s">
        <v>97</v>
      </c>
      <c r="N8" s="2"/>
      <c r="AH8" s="1"/>
      <c r="AI8" s="1"/>
      <c r="AL8" s="84">
        <v>13</v>
      </c>
      <c r="AM8" s="86">
        <v>2.62</v>
      </c>
      <c r="AN8" s="19">
        <v>8.2899999999999991</v>
      </c>
    </row>
    <row r="9" spans="1:45" ht="15" customHeight="1">
      <c r="A9" s="441"/>
      <c r="B9" s="94" t="s">
        <v>539</v>
      </c>
      <c r="C9" s="7" t="s">
        <v>83</v>
      </c>
      <c r="D9" s="8"/>
      <c r="E9" s="8"/>
      <c r="F9" s="8"/>
      <c r="G9" s="8"/>
      <c r="H9" s="8"/>
      <c r="I9" s="8"/>
      <c r="J9" s="8"/>
      <c r="K9" s="8"/>
      <c r="L9" s="8"/>
      <c r="N9" s="2"/>
      <c r="Q9" s="456"/>
      <c r="AH9" s="1"/>
      <c r="AI9" s="1"/>
      <c r="AQ9" s="84">
        <v>15</v>
      </c>
      <c r="AR9" s="86">
        <v>2.48</v>
      </c>
      <c r="AS9" s="19">
        <v>9.5649999999999995</v>
      </c>
    </row>
    <row r="10" spans="1:45" ht="19.899999999999999" customHeight="1">
      <c r="A10" s="523"/>
      <c r="C10" s="961" t="str">
        <f>IF(ISBLANK(M6),"",F4)</f>
        <v/>
      </c>
      <c r="D10" s="962"/>
      <c r="E10" s="1136" t="s">
        <v>64</v>
      </c>
      <c r="F10" s="1137"/>
      <c r="G10" s="998" t="str">
        <f>IF(ISBLANK(M6),"",M6)</f>
        <v/>
      </c>
      <c r="H10" s="999"/>
      <c r="I10" s="1161" t="s">
        <v>65</v>
      </c>
      <c r="J10" s="1161"/>
      <c r="K10" s="961" t="str">
        <f>IF(ISBLANK(M6),"",C10/G10)</f>
        <v/>
      </c>
      <c r="L10" s="962"/>
      <c r="M10" s="8" t="s">
        <v>97</v>
      </c>
      <c r="N10" s="2"/>
      <c r="AH10" s="1"/>
      <c r="AI10" s="1"/>
      <c r="AL10" s="84">
        <v>16</v>
      </c>
      <c r="AM10" s="86">
        <v>2.41</v>
      </c>
      <c r="AN10" s="19">
        <v>10.24</v>
      </c>
    </row>
    <row r="11" spans="1:45" ht="15" customHeight="1">
      <c r="A11" s="523"/>
      <c r="B11" s="8" t="s">
        <v>540</v>
      </c>
      <c r="C11" s="3" t="s">
        <v>503</v>
      </c>
      <c r="D11" s="3"/>
      <c r="E11" s="3"/>
      <c r="F11" s="3"/>
      <c r="G11" s="3"/>
      <c r="H11" s="3"/>
      <c r="I11" s="3"/>
      <c r="J11" s="3"/>
      <c r="K11" s="3"/>
      <c r="L11" s="3"/>
      <c r="M11" s="3"/>
      <c r="N11" s="705"/>
      <c r="O11" s="539"/>
      <c r="P11" s="536"/>
      <c r="Q11" s="539"/>
      <c r="AH11" s="1"/>
      <c r="AI11" s="1"/>
      <c r="AQ11" s="84">
        <v>18</v>
      </c>
      <c r="AR11" s="86">
        <v>2.29</v>
      </c>
      <c r="AS11" s="19">
        <v>11.664999999999999</v>
      </c>
    </row>
    <row r="12" spans="1:45" ht="19.899999999999999" customHeight="1">
      <c r="A12" s="523"/>
      <c r="B12" s="3"/>
      <c r="C12" s="961" t="str">
        <f>IF(ISBLANK(M6),"",F4)</f>
        <v/>
      </c>
      <c r="D12" s="962"/>
      <c r="E12" s="4" t="s">
        <v>551</v>
      </c>
      <c r="F12" s="1087" t="str">
        <f>IF(ISBLANK(M6),"",F6)</f>
        <v/>
      </c>
      <c r="G12" s="1088"/>
      <c r="H12" s="1136" t="s">
        <v>891</v>
      </c>
      <c r="I12" s="1373"/>
      <c r="K12" s="961" t="str">
        <f>IF(ISBLANK(M6),"",(C12/F12))</f>
        <v/>
      </c>
      <c r="L12" s="962"/>
      <c r="M12" s="8" t="s">
        <v>31</v>
      </c>
      <c r="N12" s="2"/>
      <c r="AH12" s="1"/>
      <c r="AI12" s="1"/>
      <c r="AL12" s="84">
        <v>19</v>
      </c>
      <c r="AM12" s="86">
        <v>2.23</v>
      </c>
      <c r="AN12" s="19">
        <v>12.414999999999999</v>
      </c>
    </row>
    <row r="13" spans="1:45" ht="6" customHeight="1">
      <c r="A13" s="523"/>
      <c r="D13" s="78"/>
      <c r="E13" s="78"/>
      <c r="F13" s="4"/>
      <c r="G13" s="4"/>
      <c r="H13" s="4"/>
      <c r="I13" s="3"/>
      <c r="J13" s="78"/>
      <c r="K13" s="78"/>
      <c r="L13" s="4"/>
      <c r="M13" s="8"/>
      <c r="N13" s="2"/>
      <c r="AH13" s="1"/>
      <c r="AI13" s="1"/>
      <c r="AQ13" s="84">
        <v>20</v>
      </c>
      <c r="AR13" s="86">
        <v>2.1800000000000002</v>
      </c>
      <c r="AS13" s="19">
        <v>13.19</v>
      </c>
    </row>
    <row r="14" spans="1:45" ht="19.899999999999999" customHeight="1">
      <c r="A14" s="441"/>
      <c r="B14" s="94" t="s">
        <v>793</v>
      </c>
      <c r="C14" s="477" t="s">
        <v>472</v>
      </c>
      <c r="D14" s="477"/>
      <c r="E14" s="477"/>
      <c r="G14" s="1257"/>
      <c r="H14" s="1258"/>
      <c r="I14" s="1258"/>
      <c r="J14" s="1259"/>
      <c r="K14" s="694"/>
      <c r="L14" s="694"/>
      <c r="M14" s="694"/>
      <c r="N14" s="2"/>
      <c r="Q14" s="456"/>
      <c r="AH14" s="1"/>
      <c r="AI14" s="1"/>
      <c r="AQ14" s="84">
        <v>15</v>
      </c>
      <c r="AR14" s="86">
        <v>2.48</v>
      </c>
      <c r="AS14" s="19">
        <v>9.5649999999999995</v>
      </c>
    </row>
    <row r="15" spans="1:45" ht="6" customHeight="1" thickBot="1">
      <c r="A15" s="523"/>
      <c r="D15" s="78"/>
      <c r="E15" s="78"/>
      <c r="F15" s="4"/>
      <c r="G15" s="4"/>
      <c r="H15" s="4"/>
      <c r="I15" s="3"/>
      <c r="J15" s="78"/>
      <c r="K15" s="78"/>
      <c r="L15" s="4"/>
      <c r="M15" s="8"/>
      <c r="N15" s="2"/>
      <c r="AH15" s="1"/>
      <c r="AI15" s="1"/>
      <c r="AQ15" s="84">
        <v>17</v>
      </c>
      <c r="AR15" s="86">
        <v>2.35</v>
      </c>
      <c r="AS15" s="19">
        <v>10.94</v>
      </c>
    </row>
    <row r="16" spans="1:45" ht="16.149999999999999" customHeight="1" thickBot="1">
      <c r="A16" s="522" t="s">
        <v>94</v>
      </c>
      <c r="B16" s="388"/>
      <c r="C16" s="896" t="s">
        <v>498</v>
      </c>
      <c r="D16" s="896"/>
      <c r="E16" s="896"/>
      <c r="F16" s="896"/>
      <c r="G16" s="896"/>
      <c r="H16" s="896"/>
      <c r="I16" s="896"/>
      <c r="J16" s="896"/>
      <c r="K16" s="896"/>
      <c r="L16" s="896"/>
      <c r="M16" s="896"/>
      <c r="N16" s="924"/>
      <c r="O16" s="536"/>
      <c r="P16" s="536"/>
      <c r="Q16" s="536"/>
      <c r="AH16" s="1"/>
      <c r="AI16" s="1"/>
      <c r="AQ16" s="84">
        <v>21</v>
      </c>
      <c r="AR16" s="86">
        <v>2.13</v>
      </c>
      <c r="AS16" s="19">
        <v>13.99</v>
      </c>
    </row>
    <row r="17" spans="1:45" ht="15" customHeight="1">
      <c r="A17" s="441"/>
      <c r="B17" s="8" t="s">
        <v>154</v>
      </c>
      <c r="C17" s="8" t="s">
        <v>1314</v>
      </c>
      <c r="N17" s="2"/>
      <c r="AH17" s="1"/>
      <c r="AI17" s="1"/>
      <c r="AQ17" s="84">
        <v>23</v>
      </c>
      <c r="AR17" s="86">
        <v>2.0299999999999998</v>
      </c>
      <c r="AS17" s="19">
        <v>15.664999999999999</v>
      </c>
    </row>
    <row r="18" spans="1:45" ht="19.899999999999999" customHeight="1">
      <c r="A18" s="523"/>
      <c r="B18" s="9"/>
      <c r="D18" s="994"/>
      <c r="E18" s="995"/>
      <c r="F18" s="65"/>
      <c r="G18" s="3"/>
      <c r="J18" s="967" t="str">
        <f>IF(ISBLANK(D18)," ",(D18+1.25))</f>
        <v xml:space="preserve"> </v>
      </c>
      <c r="K18" s="968"/>
      <c r="L18" s="1" t="s">
        <v>97</v>
      </c>
      <c r="O18" s="1"/>
      <c r="P18" s="1"/>
      <c r="Q18" s="1"/>
      <c r="AH18" s="1"/>
      <c r="AI18" s="1"/>
      <c r="AK18" s="84">
        <v>24</v>
      </c>
      <c r="AL18" s="86">
        <v>1.98</v>
      </c>
      <c r="AM18" s="19">
        <v>16.54</v>
      </c>
    </row>
    <row r="19" spans="1:45" ht="19.899999999999999" customHeight="1">
      <c r="A19" s="523"/>
      <c r="B19" s="9"/>
      <c r="C19" s="1349" t="s">
        <v>1279</v>
      </c>
      <c r="D19" s="1349"/>
      <c r="E19" s="1349"/>
      <c r="F19" s="3" t="s">
        <v>1277</v>
      </c>
      <c r="G19" s="3"/>
      <c r="H19" s="860" t="s">
        <v>315</v>
      </c>
      <c r="I19" s="3" t="s">
        <v>1278</v>
      </c>
      <c r="J19" s="3"/>
      <c r="K19" s="861"/>
      <c r="L19" s="34"/>
      <c r="M19" s="8"/>
      <c r="N19" s="2"/>
      <c r="O19" s="1"/>
      <c r="P19" s="1"/>
      <c r="Q19" s="1"/>
      <c r="AH19" s="1"/>
      <c r="AI19" s="1"/>
      <c r="AP19" s="84"/>
      <c r="AQ19" s="86"/>
      <c r="AR19" s="19"/>
    </row>
    <row r="20" spans="1:45" ht="15" customHeight="1">
      <c r="A20" s="441"/>
      <c r="B20" s="94" t="s">
        <v>527</v>
      </c>
      <c r="C20" s="3" t="s">
        <v>714</v>
      </c>
      <c r="N20" s="2"/>
      <c r="AH20" s="1"/>
      <c r="AI20" s="1"/>
    </row>
    <row r="21" spans="1:45" ht="19.899999999999999" customHeight="1">
      <c r="A21" s="523"/>
      <c r="C21" s="9" t="s">
        <v>93</v>
      </c>
      <c r="D21" s="7" t="s">
        <v>892</v>
      </c>
      <c r="L21" s="1347"/>
      <c r="M21" s="1348"/>
      <c r="N21" s="2"/>
      <c r="AH21" s="1"/>
      <c r="AI21" s="1"/>
    </row>
    <row r="22" spans="1:45" ht="15" customHeight="1">
      <c r="A22" s="441"/>
      <c r="B22" s="94"/>
      <c r="C22" s="9" t="s">
        <v>94</v>
      </c>
      <c r="D22" s="7" t="s">
        <v>712</v>
      </c>
      <c r="N22" s="2"/>
      <c r="AH22" s="1"/>
      <c r="AI22" s="1"/>
    </row>
    <row r="23" spans="1:45" ht="19.5" customHeight="1">
      <c r="A23" s="523"/>
      <c r="C23" s="4"/>
      <c r="D23" s="1087" t="str">
        <f>IF(ISBLANK(L21),"",L21)</f>
        <v/>
      </c>
      <c r="E23" s="1088"/>
      <c r="F23" s="4" t="s">
        <v>106</v>
      </c>
      <c r="G23" s="967" t="str">
        <f>IF(ISBLANK(D18),"",J18)</f>
        <v/>
      </c>
      <c r="H23" s="968"/>
      <c r="I23" s="4" t="s">
        <v>123</v>
      </c>
      <c r="J23" s="967" t="str">
        <f>IF(ISBLANK(L21),"",D23*G23)</f>
        <v/>
      </c>
      <c r="K23" s="968"/>
      <c r="L23" s="8" t="s">
        <v>97</v>
      </c>
      <c r="N23" s="2"/>
      <c r="AH23" s="1"/>
      <c r="AI23" s="1"/>
    </row>
    <row r="24" spans="1:45" ht="15" customHeight="1">
      <c r="A24" s="523"/>
      <c r="C24" s="9" t="s">
        <v>148</v>
      </c>
      <c r="D24" s="8" t="s">
        <v>713</v>
      </c>
      <c r="E24" s="7"/>
      <c r="F24" s="7"/>
      <c r="G24" s="7"/>
      <c r="H24" s="19"/>
      <c r="I24" s="19"/>
      <c r="J24" s="4"/>
      <c r="K24" s="23"/>
      <c r="L24" s="23"/>
      <c r="M24" s="4"/>
      <c r="N24" s="925"/>
      <c r="O24" s="421"/>
      <c r="AH24" s="1"/>
      <c r="AI24" s="1"/>
    </row>
    <row r="25" spans="1:45" ht="19.899999999999999" customHeight="1">
      <c r="A25" s="523"/>
      <c r="C25" s="4"/>
      <c r="D25" s="1141" t="s">
        <v>789</v>
      </c>
      <c r="E25" s="1141"/>
      <c r="F25" s="4" t="s">
        <v>106</v>
      </c>
      <c r="G25" s="967" t="str">
        <f>K8</f>
        <v/>
      </c>
      <c r="H25" s="999"/>
      <c r="I25" s="1354" t="s">
        <v>896</v>
      </c>
      <c r="J25" s="1006"/>
      <c r="K25" s="1006"/>
      <c r="L25" s="967" t="str">
        <f>IF(ISBLANK(D18),"",(0.5*G25)+5)</f>
        <v/>
      </c>
      <c r="M25" s="968"/>
      <c r="N25" s="2" t="s">
        <v>97</v>
      </c>
      <c r="O25" s="421"/>
      <c r="R25" s="1368"/>
      <c r="S25" s="1368"/>
      <c r="T25" s="1368"/>
      <c r="U25" s="1368"/>
      <c r="V25" s="1368"/>
      <c r="W25" s="1368"/>
      <c r="X25" s="1368"/>
      <c r="Y25" s="1368"/>
      <c r="Z25" s="1368"/>
      <c r="AA25" s="1368"/>
      <c r="AB25" s="1368"/>
      <c r="AC25" s="1368"/>
      <c r="AH25" s="1"/>
      <c r="AI25" s="1"/>
    </row>
    <row r="26" spans="1:45" ht="6" customHeight="1">
      <c r="A26" s="523"/>
      <c r="N26" s="2"/>
      <c r="R26" s="1368"/>
      <c r="S26" s="1368"/>
      <c r="T26" s="1368"/>
      <c r="U26" s="1368"/>
      <c r="V26" s="1368"/>
      <c r="W26" s="1368"/>
      <c r="X26" s="1368"/>
      <c r="Y26" s="1368"/>
      <c r="Z26" s="1368"/>
      <c r="AA26" s="1368"/>
      <c r="AB26" s="1368"/>
      <c r="AC26" s="1368"/>
      <c r="AH26" s="1"/>
      <c r="AI26" s="1"/>
    </row>
    <row r="27" spans="1:45" ht="19.5" customHeight="1">
      <c r="A27" s="523"/>
      <c r="C27" s="9" t="s">
        <v>149</v>
      </c>
      <c r="D27" s="8" t="s">
        <v>715</v>
      </c>
      <c r="K27" s="994"/>
      <c r="L27" s="995"/>
      <c r="M27" s="1" t="s">
        <v>97</v>
      </c>
      <c r="N27" s="2"/>
      <c r="R27" s="1368"/>
      <c r="S27" s="1368"/>
      <c r="T27" s="1368"/>
      <c r="U27" s="1368"/>
      <c r="V27" s="1368"/>
      <c r="W27" s="1368"/>
      <c r="X27" s="1368"/>
      <c r="Y27" s="1368"/>
      <c r="Z27" s="1368"/>
      <c r="AA27" s="1368"/>
      <c r="AB27" s="1368"/>
      <c r="AC27" s="1368"/>
      <c r="AH27" s="1"/>
      <c r="AI27" s="1"/>
    </row>
    <row r="28" spans="1:45" ht="15" customHeight="1">
      <c r="A28" s="523"/>
      <c r="B28" s="1" t="s">
        <v>156</v>
      </c>
      <c r="C28" s="1" t="s">
        <v>719</v>
      </c>
      <c r="N28" s="2"/>
      <c r="AH28" s="1"/>
      <c r="AI28" s="1"/>
    </row>
    <row r="29" spans="1:45" ht="19.5" customHeight="1">
      <c r="A29" s="523"/>
      <c r="C29" s="9" t="s">
        <v>93</v>
      </c>
      <c r="D29" s="7" t="s">
        <v>894</v>
      </c>
      <c r="K29" s="1347"/>
      <c r="L29" s="1348"/>
      <c r="N29" s="2"/>
      <c r="AH29" s="1"/>
      <c r="AI29" s="1"/>
    </row>
    <row r="30" spans="1:45" ht="18" customHeight="1">
      <c r="A30" s="523"/>
      <c r="C30" s="9" t="s">
        <v>94</v>
      </c>
      <c r="D30" s="1" t="s">
        <v>903</v>
      </c>
      <c r="N30" s="2"/>
      <c r="AH30" s="1"/>
      <c r="AI30" s="1"/>
    </row>
    <row r="31" spans="1:45" ht="18" customHeight="1">
      <c r="A31" s="523"/>
      <c r="C31" s="9"/>
      <c r="D31" s="1352" t="str">
        <f>IF(ISBLANK(K29),"",K29)</f>
        <v/>
      </c>
      <c r="E31" s="1353"/>
      <c r="F31" s="4" t="s">
        <v>106</v>
      </c>
      <c r="G31" s="1077" t="str">
        <f>IF(ISBLANK(D18)," ",J18)</f>
        <v xml:space="preserve"> </v>
      </c>
      <c r="H31" s="1132"/>
      <c r="I31" s="8" t="s">
        <v>546</v>
      </c>
      <c r="J31" s="967" t="str">
        <f>IF(ISBLANK(K29),"",D31*G31)</f>
        <v/>
      </c>
      <c r="K31" s="968"/>
      <c r="L31" s="1" t="s">
        <v>97</v>
      </c>
      <c r="M31" s="535"/>
      <c r="N31" s="926"/>
      <c r="O31" s="537"/>
      <c r="P31" s="537"/>
      <c r="AH31" s="1"/>
      <c r="AI31" s="1"/>
    </row>
    <row r="32" spans="1:45" ht="18.75" customHeight="1">
      <c r="A32" s="442"/>
      <c r="C32" s="9" t="s">
        <v>148</v>
      </c>
      <c r="D32" s="1" t="s">
        <v>716</v>
      </c>
      <c r="E32" s="7"/>
      <c r="F32" s="7"/>
      <c r="G32" s="7"/>
      <c r="H32" s="4" t="s">
        <v>107</v>
      </c>
      <c r="N32" s="2"/>
      <c r="Q32" s="540"/>
      <c r="R32" s="14"/>
      <c r="AH32" s="1"/>
      <c r="AI32" s="1"/>
    </row>
    <row r="33" spans="1:35" ht="18.75" customHeight="1">
      <c r="A33" s="442"/>
      <c r="C33" s="9"/>
      <c r="D33" s="967" t="str">
        <f>K8</f>
        <v/>
      </c>
      <c r="E33" s="999"/>
      <c r="F33" s="19" t="s">
        <v>608</v>
      </c>
      <c r="G33" s="1141">
        <v>5</v>
      </c>
      <c r="H33" s="1141"/>
      <c r="I33" s="23" t="s">
        <v>107</v>
      </c>
      <c r="J33" s="967" t="str">
        <f>IF(ISBLANK(K29),"",D33+G33)</f>
        <v/>
      </c>
      <c r="K33" s="968"/>
      <c r="L33" s="1" t="s">
        <v>97</v>
      </c>
      <c r="M33" s="4"/>
      <c r="N33" s="925"/>
      <c r="O33" s="537"/>
      <c r="Q33" s="540"/>
      <c r="R33" s="14"/>
      <c r="AH33" s="1"/>
      <c r="AI33" s="1"/>
    </row>
    <row r="34" spans="1:35" ht="6" customHeight="1">
      <c r="A34" s="442"/>
      <c r="C34" s="4"/>
      <c r="E34" s="7"/>
      <c r="F34" s="7"/>
      <c r="G34" s="7"/>
      <c r="J34" s="7"/>
      <c r="K34" s="8"/>
      <c r="N34" s="2"/>
      <c r="O34" s="540"/>
      <c r="P34" s="540"/>
      <c r="Q34" s="540"/>
      <c r="R34" s="14"/>
      <c r="AH34" s="1"/>
      <c r="AI34" s="1"/>
    </row>
    <row r="35" spans="1:35" ht="19.899999999999999" customHeight="1">
      <c r="A35" s="442"/>
      <c r="C35" s="9" t="s">
        <v>149</v>
      </c>
      <c r="D35" s="1" t="s">
        <v>890</v>
      </c>
      <c r="E35" s="7"/>
      <c r="F35" s="7"/>
      <c r="G35" s="7"/>
      <c r="J35" s="7"/>
      <c r="K35" s="8"/>
      <c r="L35" s="967" t="str">
        <f>IF(ISBLANK(K29),"",MAX(J31,J33))</f>
        <v/>
      </c>
      <c r="M35" s="968"/>
      <c r="N35" s="2" t="s">
        <v>97</v>
      </c>
      <c r="Q35" s="540"/>
      <c r="R35" s="14"/>
      <c r="AH35" s="1"/>
      <c r="AI35" s="1"/>
    </row>
    <row r="36" spans="1:35" ht="6" customHeight="1">
      <c r="A36" s="442"/>
      <c r="C36" s="4"/>
      <c r="E36" s="7"/>
      <c r="F36" s="7"/>
      <c r="G36" s="7"/>
      <c r="J36" s="7"/>
      <c r="K36" s="8"/>
      <c r="N36" s="2"/>
      <c r="O36" s="540"/>
      <c r="P36" s="540"/>
      <c r="Q36" s="540"/>
      <c r="R36" s="14"/>
      <c r="AH36" s="1"/>
      <c r="AI36" s="1"/>
    </row>
    <row r="37" spans="1:35" ht="15" customHeight="1">
      <c r="A37" s="442"/>
      <c r="C37" s="9" t="s">
        <v>96</v>
      </c>
      <c r="D37" s="1" t="s">
        <v>717</v>
      </c>
      <c r="E37" s="7"/>
      <c r="F37" s="7"/>
      <c r="G37" s="7"/>
      <c r="J37" s="7"/>
      <c r="K37" s="8"/>
      <c r="N37" s="2"/>
      <c r="O37" s="540"/>
      <c r="P37" s="540"/>
      <c r="Q37" s="540"/>
      <c r="R37" s="14"/>
      <c r="AH37" s="1"/>
      <c r="AI37" s="1"/>
    </row>
    <row r="38" spans="1:35" ht="19.899999999999999" customHeight="1">
      <c r="A38" s="442"/>
      <c r="C38" s="4"/>
      <c r="D38" s="1141" t="s">
        <v>897</v>
      </c>
      <c r="E38" s="1141"/>
      <c r="F38" s="967" t="str">
        <f>K8</f>
        <v/>
      </c>
      <c r="G38" s="999"/>
      <c r="H38" s="19" t="s">
        <v>608</v>
      </c>
      <c r="I38" s="1141" t="s">
        <v>898</v>
      </c>
      <c r="J38" s="1141"/>
      <c r="K38" s="967" t="str">
        <f>IF(ISBLANK(K29),"",(0.5*F38)+5)</f>
        <v/>
      </c>
      <c r="L38" s="968"/>
      <c r="M38" s="1" t="s">
        <v>97</v>
      </c>
      <c r="N38" s="2"/>
      <c r="P38" s="540"/>
      <c r="Q38" s="540"/>
      <c r="AH38" s="1"/>
      <c r="AI38" s="1"/>
    </row>
    <row r="39" spans="1:35" ht="6" customHeight="1">
      <c r="A39" s="442"/>
      <c r="C39" s="4"/>
      <c r="E39" s="7"/>
      <c r="F39" s="7"/>
      <c r="G39" s="7"/>
      <c r="J39" s="7"/>
      <c r="K39" s="8"/>
      <c r="N39" s="2"/>
      <c r="O39" s="540"/>
      <c r="P39" s="540"/>
      <c r="Q39" s="540"/>
      <c r="R39" s="14"/>
      <c r="AH39" s="1"/>
      <c r="AI39" s="1"/>
    </row>
    <row r="40" spans="1:35" ht="19.899999999999999" customHeight="1">
      <c r="A40" s="442"/>
      <c r="C40" s="9" t="s">
        <v>98</v>
      </c>
      <c r="D40" s="1" t="s">
        <v>718</v>
      </c>
      <c r="E40" s="7"/>
      <c r="F40" s="7"/>
      <c r="G40" s="7"/>
      <c r="J40" s="7"/>
      <c r="K40" s="994"/>
      <c r="L40" s="995"/>
      <c r="M40" s="1" t="s">
        <v>97</v>
      </c>
      <c r="N40" s="2"/>
      <c r="O40" s="540"/>
      <c r="P40" s="540"/>
      <c r="Q40" s="540"/>
      <c r="R40" s="14"/>
      <c r="AH40" s="1"/>
      <c r="AI40" s="1"/>
    </row>
    <row r="41" spans="1:35" ht="6" customHeight="1" thickBot="1">
      <c r="A41" s="524"/>
      <c r="B41" s="11"/>
      <c r="C41" s="899"/>
      <c r="D41" s="927"/>
      <c r="E41" s="927"/>
      <c r="F41" s="927"/>
      <c r="G41" s="927"/>
      <c r="H41" s="11"/>
      <c r="I41" s="11"/>
      <c r="J41" s="927"/>
      <c r="K41" s="883"/>
      <c r="L41" s="899"/>
      <c r="M41" s="899"/>
      <c r="N41" s="928"/>
      <c r="R41" s="14"/>
      <c r="AH41" s="1"/>
      <c r="AI41" s="1"/>
    </row>
    <row r="42" spans="1:35" s="3" customFormat="1" ht="6" customHeight="1">
      <c r="A42" s="868"/>
      <c r="B42" s="869"/>
      <c r="C42" s="870"/>
      <c r="D42" s="870"/>
      <c r="E42" s="870"/>
      <c r="F42" s="870"/>
      <c r="G42" s="870"/>
      <c r="H42" s="870"/>
      <c r="I42" s="870"/>
      <c r="J42" s="871"/>
      <c r="K42" s="870"/>
      <c r="L42" s="872"/>
      <c r="M42" s="873"/>
      <c r="N42" s="874"/>
      <c r="AA42" s="1"/>
      <c r="AB42" s="1"/>
      <c r="AC42" s="1"/>
      <c r="AD42" s="1"/>
      <c r="AE42" s="1"/>
    </row>
    <row r="43" spans="1:35" ht="18.75" customHeight="1">
      <c r="A43" s="523"/>
      <c r="B43" s="94" t="s">
        <v>541</v>
      </c>
      <c r="C43" s="7" t="s">
        <v>1331</v>
      </c>
      <c r="E43" s="946"/>
      <c r="F43" s="946"/>
      <c r="G43" s="7"/>
      <c r="J43" s="8"/>
      <c r="K43" s="1347"/>
      <c r="L43" s="1348"/>
      <c r="N43" s="2"/>
      <c r="P43" s="541"/>
      <c r="Q43" s="541"/>
      <c r="AH43" s="1"/>
      <c r="AI43" s="1"/>
    </row>
    <row r="44" spans="1:35" ht="18" customHeight="1">
      <c r="A44" s="441"/>
      <c r="B44" s="94" t="s">
        <v>542</v>
      </c>
      <c r="C44" s="7" t="s">
        <v>499</v>
      </c>
      <c r="E44" s="7"/>
      <c r="F44" s="7"/>
      <c r="G44" s="7"/>
      <c r="H44" s="7"/>
      <c r="I44" s="7"/>
      <c r="J44" s="7"/>
      <c r="K44" s="529" t="s">
        <v>85</v>
      </c>
      <c r="N44" s="2"/>
      <c r="AH44" s="1"/>
      <c r="AI44" s="1"/>
    </row>
    <row r="45" spans="1:35" ht="20.100000000000001" customHeight="1">
      <c r="A45" s="523"/>
      <c r="C45" s="93"/>
      <c r="D45" s="891"/>
      <c r="E45" s="1087" t="str">
        <f>IF(ISBLANK(K43),"",K43)</f>
        <v/>
      </c>
      <c r="F45" s="1088"/>
      <c r="G45" s="4" t="s">
        <v>106</v>
      </c>
      <c r="H45" s="967" t="str">
        <f>IF(ISBLANK(K43),"",J18)</f>
        <v/>
      </c>
      <c r="I45" s="968"/>
      <c r="J45" s="4" t="s">
        <v>123</v>
      </c>
      <c r="K45" s="967" t="str">
        <f>IF(ISBLANK(K43),"",E45*H45)</f>
        <v/>
      </c>
      <c r="L45" s="968"/>
      <c r="M45" s="8" t="s">
        <v>97</v>
      </c>
      <c r="N45" s="2"/>
      <c r="O45" s="542"/>
      <c r="P45" s="543"/>
      <c r="Q45" s="543"/>
      <c r="AH45" s="1"/>
      <c r="AI45" s="1"/>
    </row>
    <row r="46" spans="1:35" ht="15" customHeight="1">
      <c r="A46" s="441"/>
      <c r="B46" s="94" t="s">
        <v>598</v>
      </c>
      <c r="C46" s="7" t="s">
        <v>500</v>
      </c>
      <c r="D46" s="7"/>
      <c r="E46" s="7"/>
      <c r="F46" s="7"/>
      <c r="G46" s="7"/>
      <c r="H46" s="7"/>
      <c r="I46" s="7"/>
      <c r="J46" s="7"/>
      <c r="K46" s="7"/>
      <c r="L46" s="7"/>
      <c r="M46" s="8"/>
      <c r="N46" s="443"/>
      <c r="P46" s="536"/>
      <c r="Q46" s="536"/>
      <c r="R46" s="8"/>
      <c r="AH46" s="1"/>
      <c r="AI46" s="1"/>
    </row>
    <row r="47" spans="1:35" ht="19.899999999999999" customHeight="1">
      <c r="A47" s="523"/>
      <c r="B47" s="9"/>
      <c r="C47" s="967" t="str">
        <f>IF(ISBLANK(L21),"",K27)</f>
        <v/>
      </c>
      <c r="D47" s="968"/>
      <c r="E47" s="4" t="s">
        <v>124</v>
      </c>
      <c r="F47" s="967" t="str">
        <f>IF(ISBLANK(K29),"",K40)</f>
        <v/>
      </c>
      <c r="G47" s="968"/>
      <c r="H47" s="4" t="s">
        <v>125</v>
      </c>
      <c r="I47" s="967" t="str">
        <f>(IF(ISBLANK(K29),"",C47+F47))</f>
        <v/>
      </c>
      <c r="J47" s="968"/>
      <c r="K47" s="8" t="s">
        <v>97</v>
      </c>
      <c r="N47" s="2"/>
      <c r="AH47" s="1"/>
      <c r="AI47" s="1"/>
    </row>
    <row r="48" spans="1:35" ht="15" customHeight="1">
      <c r="A48" s="441"/>
      <c r="B48" s="94" t="s">
        <v>599</v>
      </c>
      <c r="C48" s="7" t="s">
        <v>276</v>
      </c>
      <c r="D48" s="7"/>
      <c r="E48" s="7"/>
      <c r="F48" s="7"/>
      <c r="G48" s="7"/>
      <c r="H48" s="7"/>
      <c r="I48" s="7"/>
      <c r="J48" s="7"/>
      <c r="K48" s="7"/>
      <c r="L48" s="7"/>
      <c r="M48" s="7"/>
      <c r="N48" s="930"/>
      <c r="O48" s="536"/>
      <c r="P48" s="536"/>
      <c r="Q48" s="536"/>
      <c r="R48" s="8"/>
      <c r="AH48" s="1"/>
      <c r="AI48" s="1"/>
    </row>
    <row r="49" spans="1:36" ht="19.899999999999999" customHeight="1">
      <c r="A49" s="523"/>
      <c r="B49" s="9"/>
      <c r="C49" s="967" t="str">
        <f>K45</f>
        <v/>
      </c>
      <c r="D49" s="968"/>
      <c r="E49" s="4" t="s">
        <v>129</v>
      </c>
      <c r="F49" s="967" t="str">
        <f>K10</f>
        <v/>
      </c>
      <c r="G49" s="968"/>
      <c r="H49" s="4" t="s">
        <v>129</v>
      </c>
      <c r="I49" s="967" t="str">
        <f>K45</f>
        <v/>
      </c>
      <c r="J49" s="968"/>
      <c r="K49" s="4" t="s">
        <v>123</v>
      </c>
      <c r="L49" s="967" t="str">
        <f>IF(ISBLANK(L21),"",C49+F49+I49)</f>
        <v/>
      </c>
      <c r="M49" s="968"/>
      <c r="N49" s="443" t="s">
        <v>97</v>
      </c>
      <c r="AH49" s="1"/>
      <c r="AI49" s="1"/>
    </row>
    <row r="50" spans="1:36" s="3" customFormat="1" ht="6" customHeight="1">
      <c r="A50" s="442"/>
      <c r="B50" s="20"/>
      <c r="C50" s="1"/>
      <c r="D50" s="1"/>
      <c r="E50" s="1"/>
      <c r="F50" s="1"/>
      <c r="G50" s="1"/>
      <c r="H50" s="1"/>
      <c r="I50" s="1"/>
      <c r="J50" s="1"/>
      <c r="K50" s="1"/>
      <c r="L50" s="1"/>
      <c r="M50" s="1"/>
      <c r="N50" s="2"/>
      <c r="O50" s="424"/>
      <c r="P50" s="424"/>
      <c r="Q50" s="424"/>
      <c r="AF50" s="1"/>
      <c r="AG50" s="1"/>
      <c r="AH50" s="1"/>
      <c r="AI50" s="1"/>
      <c r="AJ50" s="1"/>
    </row>
    <row r="51" spans="1:36" s="3" customFormat="1" ht="19.5" customHeight="1">
      <c r="A51" s="442"/>
      <c r="B51" s="8" t="s">
        <v>600</v>
      </c>
      <c r="C51" s="3" t="s">
        <v>724</v>
      </c>
      <c r="D51" s="1"/>
      <c r="E51" s="1"/>
      <c r="F51" s="1"/>
      <c r="G51" s="78"/>
      <c r="H51" s="78"/>
      <c r="I51" s="4"/>
      <c r="J51" s="994"/>
      <c r="K51" s="995"/>
      <c r="L51" s="539" t="s">
        <v>97</v>
      </c>
      <c r="M51" s="539"/>
      <c r="N51" s="546"/>
      <c r="AA51" s="1"/>
      <c r="AB51" s="1"/>
      <c r="AC51" s="1"/>
      <c r="AD51" s="1"/>
      <c r="AE51" s="1"/>
    </row>
    <row r="52" spans="1:36" s="3" customFormat="1" ht="6" customHeight="1">
      <c r="A52" s="442"/>
      <c r="B52" s="20"/>
      <c r="C52" s="1"/>
      <c r="D52" s="1"/>
      <c r="E52" s="1"/>
      <c r="F52" s="1"/>
      <c r="G52" s="1"/>
      <c r="H52" s="1"/>
      <c r="I52" s="1"/>
      <c r="K52" s="1"/>
      <c r="L52" s="424"/>
      <c r="M52" s="539"/>
      <c r="N52" s="546"/>
      <c r="AA52" s="1"/>
      <c r="AB52" s="1"/>
      <c r="AC52" s="1"/>
      <c r="AD52" s="1"/>
      <c r="AE52" s="1"/>
    </row>
    <row r="53" spans="1:36" s="3" customFormat="1" ht="19.5" customHeight="1">
      <c r="A53" s="442"/>
      <c r="B53" s="8" t="s">
        <v>12</v>
      </c>
      <c r="C53" s="3" t="s">
        <v>725</v>
      </c>
      <c r="D53" s="1"/>
      <c r="E53" s="1"/>
      <c r="F53" s="1"/>
      <c r="G53" s="78"/>
      <c r="H53" s="78"/>
      <c r="I53" s="4"/>
      <c r="J53" s="994"/>
      <c r="K53" s="995"/>
      <c r="L53" s="539" t="s">
        <v>97</v>
      </c>
      <c r="M53" s="539"/>
      <c r="N53" s="546"/>
      <c r="AA53" s="1"/>
      <c r="AB53" s="1"/>
      <c r="AC53" s="1"/>
      <c r="AD53" s="1"/>
      <c r="AE53" s="1"/>
    </row>
    <row r="54" spans="1:36" s="3" customFormat="1" ht="15" customHeight="1">
      <c r="A54" s="442"/>
      <c r="B54" s="8" t="s">
        <v>13</v>
      </c>
      <c r="C54" s="3" t="s">
        <v>730</v>
      </c>
      <c r="D54" s="1"/>
      <c r="E54" s="1"/>
      <c r="F54" s="1"/>
      <c r="G54" s="78"/>
      <c r="H54" s="78"/>
      <c r="I54" s="4"/>
      <c r="J54" s="4"/>
      <c r="K54" s="4"/>
      <c r="L54" s="419"/>
      <c r="M54" s="419"/>
      <c r="N54" s="705"/>
      <c r="O54" s="424"/>
      <c r="P54" s="424"/>
      <c r="Q54" s="424"/>
      <c r="AF54" s="1"/>
      <c r="AG54" s="1"/>
      <c r="AH54" s="1"/>
      <c r="AI54" s="1"/>
      <c r="AJ54" s="1"/>
    </row>
    <row r="55" spans="1:36" s="3" customFormat="1" ht="19.5" customHeight="1">
      <c r="A55" s="442"/>
      <c r="B55" s="8"/>
      <c r="C55" s="1"/>
      <c r="D55" s="961" t="str">
        <f>IF(ISBLANK(J51),"",K10)</f>
        <v/>
      </c>
      <c r="E55" s="962"/>
      <c r="F55" s="4" t="s">
        <v>782</v>
      </c>
      <c r="G55" s="961" t="str">
        <f>IF(ISBLANK(J51),"",J51)</f>
        <v/>
      </c>
      <c r="H55" s="962"/>
      <c r="I55" s="4" t="s">
        <v>126</v>
      </c>
      <c r="J55" s="998" t="str">
        <f>IF(ISBLANK(J51),"",ROUNDUP((D55/J51),0))</f>
        <v/>
      </c>
      <c r="K55" s="999"/>
      <c r="L55" s="418" t="s">
        <v>790</v>
      </c>
      <c r="M55" s="419"/>
      <c r="N55" s="705"/>
      <c r="O55" s="424"/>
      <c r="P55" s="424"/>
      <c r="Q55" s="424"/>
      <c r="AF55" s="1"/>
      <c r="AG55" s="1"/>
      <c r="AH55" s="1"/>
      <c r="AI55" s="1"/>
      <c r="AJ55" s="1"/>
    </row>
    <row r="56" spans="1:36" s="3" customFormat="1" ht="15" customHeight="1">
      <c r="A56" s="442"/>
      <c r="B56" s="8" t="s">
        <v>728</v>
      </c>
      <c r="C56" s="3" t="s">
        <v>731</v>
      </c>
      <c r="D56" s="1"/>
      <c r="E56" s="1"/>
      <c r="F56" s="1"/>
      <c r="G56" s="78"/>
      <c r="H56" s="78"/>
      <c r="I56" s="4"/>
      <c r="J56" s="4"/>
      <c r="K56" s="4"/>
      <c r="L56" s="419"/>
      <c r="M56" s="419"/>
      <c r="N56" s="705"/>
      <c r="O56" s="424"/>
      <c r="P56" s="424"/>
      <c r="Q56" s="424"/>
      <c r="AF56" s="1"/>
      <c r="AG56" s="1"/>
      <c r="AH56" s="1"/>
      <c r="AI56" s="1"/>
      <c r="AJ56" s="1"/>
    </row>
    <row r="57" spans="1:36" s="3" customFormat="1" ht="15" customHeight="1">
      <c r="A57" s="442"/>
      <c r="B57" s="8"/>
      <c r="C57" s="1" t="s">
        <v>727</v>
      </c>
      <c r="D57" s="1"/>
      <c r="E57" s="1"/>
      <c r="F57" s="1"/>
      <c r="G57" s="78"/>
      <c r="H57" s="78"/>
      <c r="I57" s="4"/>
      <c r="J57" s="4"/>
      <c r="K57" s="4"/>
      <c r="L57" s="419"/>
      <c r="M57" s="419"/>
      <c r="N57" s="705"/>
      <c r="O57" s="424"/>
      <c r="P57" s="424"/>
      <c r="Q57" s="424"/>
      <c r="AF57" s="1"/>
      <c r="AG57" s="1"/>
      <c r="AH57" s="1"/>
      <c r="AI57" s="1"/>
      <c r="AJ57" s="1"/>
    </row>
    <row r="58" spans="1:36" s="3" customFormat="1" ht="19.5" customHeight="1">
      <c r="A58" s="442"/>
      <c r="B58" s="8"/>
      <c r="C58" s="1"/>
      <c r="D58" s="961" t="str">
        <f>IF(ISBLANK(J51),"",K8)</f>
        <v/>
      </c>
      <c r="E58" s="962"/>
      <c r="F58" s="4" t="s">
        <v>784</v>
      </c>
      <c r="G58" s="961" t="str">
        <f>IF(ISBLANK(J53),"",J53)</f>
        <v/>
      </c>
      <c r="H58" s="962"/>
      <c r="I58" s="4" t="s">
        <v>126</v>
      </c>
      <c r="J58" s="1371" t="str">
        <f>IF(ISBLANK(J53),"",D58/J53)</f>
        <v/>
      </c>
      <c r="K58" s="1372"/>
      <c r="L58" s="419" t="s">
        <v>786</v>
      </c>
      <c r="M58" s="419"/>
      <c r="N58" s="705"/>
      <c r="O58" s="424"/>
      <c r="P58" s="424"/>
      <c r="Q58" s="424"/>
      <c r="AF58" s="1"/>
      <c r="AG58" s="1"/>
      <c r="AH58" s="1"/>
      <c r="AI58" s="1"/>
      <c r="AJ58" s="1"/>
    </row>
    <row r="59" spans="1:36" s="3" customFormat="1" ht="15" customHeight="1">
      <c r="A59" s="442"/>
      <c r="B59" s="20" t="s">
        <v>729</v>
      </c>
      <c r="C59" s="1" t="s">
        <v>726</v>
      </c>
      <c r="D59" s="1"/>
      <c r="E59" s="1"/>
      <c r="F59" s="1"/>
      <c r="G59" s="1"/>
      <c r="H59" s="1"/>
      <c r="I59" s="1"/>
      <c r="J59" s="1"/>
      <c r="K59" s="1"/>
      <c r="L59" s="1"/>
      <c r="M59" s="1"/>
      <c r="N59" s="2"/>
      <c r="O59" s="424"/>
      <c r="P59" s="424"/>
      <c r="Q59" s="424"/>
      <c r="AF59" s="1"/>
      <c r="AG59" s="1"/>
      <c r="AH59" s="1"/>
      <c r="AI59" s="1"/>
      <c r="AJ59" s="1"/>
    </row>
    <row r="60" spans="1:36" s="3" customFormat="1" ht="19.5" customHeight="1">
      <c r="A60" s="442"/>
      <c r="B60" s="20"/>
      <c r="C60" s="1"/>
      <c r="D60" s="961" t="str">
        <f>J55</f>
        <v/>
      </c>
      <c r="E60" s="962"/>
      <c r="F60" s="4" t="s">
        <v>106</v>
      </c>
      <c r="G60" s="967" t="str">
        <f>IF(ISBLANK(J51)," ",(ROUNDUP(J58,0)))</f>
        <v xml:space="preserve"> </v>
      </c>
      <c r="H60" s="968"/>
      <c r="I60" s="4" t="s">
        <v>107</v>
      </c>
      <c r="J60" s="1369" t="str">
        <f>IF(ISBLANK(J51),"",D60*G60)</f>
        <v/>
      </c>
      <c r="K60" s="1370"/>
      <c r="L60" s="418" t="s">
        <v>783</v>
      </c>
      <c r="M60" s="1"/>
      <c r="N60" s="2"/>
      <c r="O60" s="424"/>
      <c r="P60" s="424"/>
      <c r="Q60" s="424"/>
      <c r="AF60" s="1"/>
      <c r="AG60" s="1"/>
      <c r="AH60" s="1"/>
      <c r="AI60" s="1"/>
      <c r="AJ60" s="1"/>
    </row>
    <row r="61" spans="1:36" s="3" customFormat="1" ht="6" customHeight="1" thickBot="1">
      <c r="A61" s="524"/>
      <c r="B61" s="11"/>
      <c r="C61" s="11"/>
      <c r="D61" s="11"/>
      <c r="E61" s="11"/>
      <c r="F61" s="11"/>
      <c r="G61" s="11"/>
      <c r="H61" s="11"/>
      <c r="I61" s="11"/>
      <c r="J61" s="11"/>
      <c r="K61" s="11"/>
      <c r="L61" s="11"/>
      <c r="M61" s="11"/>
      <c r="N61" s="928"/>
      <c r="O61" s="424"/>
      <c r="P61" s="424"/>
      <c r="Q61" s="424"/>
      <c r="AF61" s="1"/>
      <c r="AG61" s="1"/>
      <c r="AH61" s="1"/>
      <c r="AI61" s="1"/>
      <c r="AJ61" s="1"/>
    </row>
    <row r="62" spans="1:36" ht="16.149999999999999" customHeight="1" thickBot="1">
      <c r="A62" s="522" t="s">
        <v>148</v>
      </c>
      <c r="B62" s="388"/>
      <c r="C62" s="398" t="s">
        <v>504</v>
      </c>
      <c r="D62" s="398"/>
      <c r="E62" s="398"/>
      <c r="F62" s="398"/>
      <c r="G62" s="398"/>
      <c r="H62" s="398"/>
      <c r="I62" s="398"/>
      <c r="J62" s="398"/>
      <c r="K62" s="398"/>
      <c r="L62" s="398"/>
      <c r="M62" s="398"/>
      <c r="N62" s="525"/>
      <c r="O62" s="544"/>
      <c r="P62" s="544"/>
      <c r="Q62" s="544"/>
      <c r="AH62" s="1"/>
      <c r="AI62" s="1"/>
    </row>
    <row r="63" spans="1:36" ht="15" customHeight="1">
      <c r="A63" s="442"/>
      <c r="N63" s="2"/>
      <c r="AH63" s="1"/>
      <c r="AI63" s="1"/>
    </row>
    <row r="64" spans="1:36" s="3" customFormat="1" ht="15" customHeight="1">
      <c r="A64" s="442"/>
      <c r="B64" s="1"/>
      <c r="C64" s="1"/>
      <c r="D64" s="1"/>
      <c r="E64" s="1"/>
      <c r="F64" s="1"/>
      <c r="G64" s="1"/>
      <c r="H64" s="1"/>
      <c r="I64" s="1"/>
      <c r="J64" s="1"/>
      <c r="K64" s="1"/>
      <c r="L64" s="1"/>
      <c r="M64" s="1"/>
      <c r="N64" s="2"/>
      <c r="O64" s="424"/>
      <c r="P64" s="424"/>
      <c r="Q64" s="424"/>
      <c r="AF64" s="1"/>
      <c r="AG64" s="1"/>
      <c r="AH64" s="1"/>
      <c r="AI64" s="1"/>
      <c r="AJ64" s="1"/>
    </row>
    <row r="65" spans="1:35" ht="15" customHeight="1">
      <c r="A65" s="442"/>
      <c r="N65" s="2"/>
      <c r="AH65" s="1"/>
      <c r="AI65" s="1"/>
    </row>
    <row r="66" spans="1:35" ht="15" customHeight="1">
      <c r="A66" s="442"/>
      <c r="N66" s="2"/>
      <c r="AH66" s="1"/>
      <c r="AI66" s="1"/>
    </row>
    <row r="67" spans="1:35" ht="15" customHeight="1">
      <c r="A67" s="442"/>
      <c r="N67" s="2"/>
      <c r="S67" s="3"/>
    </row>
    <row r="68" spans="1:35" ht="15" customHeight="1">
      <c r="A68" s="442"/>
      <c r="N68" s="2"/>
      <c r="R68" s="23"/>
    </row>
    <row r="69" spans="1:35" ht="15" customHeight="1">
      <c r="A69" s="442"/>
      <c r="N69" s="2"/>
      <c r="R69" s="23"/>
      <c r="S69" s="3"/>
    </row>
    <row r="70" spans="1:35" ht="15" customHeight="1">
      <c r="A70" s="442"/>
      <c r="N70" s="2"/>
    </row>
    <row r="71" spans="1:35" ht="15" customHeight="1">
      <c r="A71" s="442"/>
      <c r="N71" s="2"/>
      <c r="S71" s="1361"/>
      <c r="T71" s="1361"/>
      <c r="U71" s="1361"/>
      <c r="V71" s="1361"/>
      <c r="W71" s="1361"/>
      <c r="X71" s="1361"/>
      <c r="Y71" s="1361"/>
      <c r="Z71" s="1361"/>
      <c r="AA71" s="1361"/>
      <c r="AB71" s="1361"/>
      <c r="AC71" s="1361"/>
      <c r="AD71" s="1361"/>
    </row>
    <row r="72" spans="1:35" ht="15" customHeight="1">
      <c r="A72" s="442"/>
      <c r="N72" s="2"/>
      <c r="S72" s="1361"/>
      <c r="T72" s="1361"/>
      <c r="U72" s="1361"/>
      <c r="V72" s="1361"/>
      <c r="W72" s="1361"/>
      <c r="X72" s="1361"/>
      <c r="Y72" s="1361"/>
      <c r="Z72" s="1361"/>
      <c r="AA72" s="1361"/>
      <c r="AB72" s="1361"/>
      <c r="AC72" s="1361"/>
      <c r="AD72" s="1361"/>
    </row>
    <row r="73" spans="1:35" ht="15" customHeight="1">
      <c r="A73" s="442"/>
      <c r="N73" s="2"/>
    </row>
    <row r="74" spans="1:35" ht="15" customHeight="1">
      <c r="A74" s="442"/>
      <c r="N74" s="2"/>
      <c r="T74" s="78"/>
      <c r="U74" s="78"/>
      <c r="V74" s="9"/>
      <c r="W74" s="19"/>
      <c r="X74" s="19"/>
      <c r="Y74" s="4"/>
      <c r="Z74" s="78"/>
      <c r="AA74" s="78"/>
      <c r="AB74" s="4"/>
    </row>
    <row r="75" spans="1:35" ht="15" customHeight="1">
      <c r="A75" s="442"/>
      <c r="N75" s="2"/>
      <c r="S75" s="62"/>
      <c r="T75" s="4"/>
      <c r="U75" s="4"/>
      <c r="V75" s="4"/>
      <c r="W75" s="4"/>
      <c r="X75" s="4"/>
      <c r="Y75" s="4"/>
      <c r="Z75" s="4"/>
      <c r="AA75" s="4"/>
      <c r="AB75" s="4"/>
      <c r="AC75" s="4"/>
      <c r="AD75" s="4"/>
    </row>
    <row r="76" spans="1:35" ht="15" customHeight="1">
      <c r="A76" s="442"/>
      <c r="N76" s="2"/>
      <c r="S76" s="3"/>
    </row>
    <row r="77" spans="1:35" ht="15" customHeight="1">
      <c r="A77" s="442"/>
      <c r="N77" s="2"/>
    </row>
    <row r="78" spans="1:35" ht="15" customHeight="1">
      <c r="A78" s="442"/>
      <c r="N78" s="2"/>
      <c r="R78" s="94"/>
      <c r="S78" s="94"/>
      <c r="T78" s="94"/>
      <c r="U78" s="94"/>
      <c r="V78" s="94"/>
      <c r="W78" s="94"/>
      <c r="X78" s="94"/>
      <c r="Y78" s="94"/>
    </row>
    <row r="79" spans="1:35" ht="15" customHeight="1">
      <c r="A79" s="442"/>
      <c r="N79" s="2"/>
      <c r="S79" s="6"/>
      <c r="T79" s="6"/>
      <c r="U79" s="6"/>
      <c r="V79" s="1139"/>
      <c r="W79" s="1139"/>
    </row>
    <row r="80" spans="1:35" ht="15" customHeight="1">
      <c r="A80" s="442"/>
      <c r="N80" s="2"/>
      <c r="S80" s="8"/>
      <c r="T80" s="5"/>
      <c r="U80" s="3"/>
      <c r="V80" s="3"/>
      <c r="W80" s="3"/>
      <c r="X80" s="3"/>
      <c r="Y80" s="3"/>
      <c r="Z80" s="3"/>
      <c r="AA80" s="3"/>
      <c r="AB80" s="3"/>
      <c r="AC80" s="3"/>
      <c r="AD80" s="3"/>
      <c r="AH80" s="1"/>
      <c r="AI80" s="20"/>
    </row>
    <row r="81" spans="1:35" ht="15" customHeight="1">
      <c r="A81" s="442"/>
      <c r="N81" s="2"/>
      <c r="S81" s="8"/>
      <c r="U81" s="1362"/>
      <c r="V81" s="1141"/>
      <c r="W81" s="8"/>
      <c r="X81" s="1141"/>
      <c r="Y81" s="1141"/>
      <c r="Z81" s="8"/>
      <c r="AD81" s="4"/>
      <c r="AE81" s="1366"/>
      <c r="AF81" s="1366"/>
      <c r="AG81" s="8"/>
      <c r="AH81" s="1"/>
      <c r="AI81" s="20"/>
    </row>
    <row r="82" spans="1:35" ht="15" customHeight="1">
      <c r="A82" s="442"/>
      <c r="N82" s="2"/>
      <c r="S82" s="20"/>
      <c r="AH82" s="1"/>
      <c r="AI82" s="20"/>
    </row>
    <row r="83" spans="1:35" ht="15" customHeight="1">
      <c r="A83" s="442"/>
      <c r="N83" s="2"/>
      <c r="S83" s="8"/>
      <c r="T83" s="45"/>
      <c r="U83" s="4"/>
      <c r="V83" s="4"/>
      <c r="W83" s="4"/>
      <c r="X83" s="4"/>
      <c r="Y83" s="4"/>
      <c r="Z83" s="4"/>
      <c r="AA83" s="4"/>
      <c r="AB83" s="4"/>
      <c r="AC83" s="4"/>
      <c r="AD83" s="4"/>
      <c r="AE83" s="4"/>
      <c r="AH83" s="1"/>
      <c r="AI83" s="20"/>
    </row>
    <row r="84" spans="1:35" ht="15" customHeight="1">
      <c r="A84" s="442"/>
      <c r="N84" s="2"/>
      <c r="S84" s="8"/>
      <c r="T84" s="45"/>
      <c r="U84" s="4"/>
      <c r="V84" s="4"/>
      <c r="W84" s="4"/>
      <c r="X84" s="4"/>
      <c r="Y84" s="4"/>
      <c r="Z84" s="4"/>
      <c r="AA84" s="4"/>
      <c r="AB84" s="4"/>
      <c r="AC84" s="4"/>
      <c r="AD84" s="4"/>
      <c r="AE84" s="4"/>
      <c r="AH84" s="1"/>
      <c r="AI84" s="20"/>
    </row>
    <row r="85" spans="1:35" ht="15" customHeight="1">
      <c r="A85" s="442"/>
      <c r="N85" s="2"/>
      <c r="S85" s="8"/>
      <c r="T85" s="45"/>
      <c r="U85" s="4"/>
      <c r="V85" s="4"/>
      <c r="W85" s="4"/>
      <c r="X85" s="4"/>
      <c r="Y85" s="4"/>
      <c r="Z85" s="4"/>
      <c r="AA85" s="4"/>
      <c r="AB85" s="4"/>
      <c r="AC85" s="4"/>
      <c r="AD85" s="4"/>
      <c r="AE85" s="4"/>
      <c r="AH85" s="1"/>
      <c r="AI85" s="20"/>
    </row>
    <row r="86" spans="1:35" ht="15" customHeight="1">
      <c r="A86" s="442"/>
      <c r="N86" s="2"/>
      <c r="AB86" s="4"/>
      <c r="AC86" s="4"/>
      <c r="AD86" s="4"/>
      <c r="AE86" s="4"/>
      <c r="AH86" s="1"/>
      <c r="AI86" s="20"/>
    </row>
    <row r="87" spans="1:35" ht="15" customHeight="1" thickBot="1">
      <c r="A87" s="524"/>
      <c r="B87" s="11"/>
      <c r="C87" s="11"/>
      <c r="D87" s="11"/>
      <c r="E87" s="11"/>
      <c r="F87" s="11"/>
      <c r="G87" s="11"/>
      <c r="H87" s="11"/>
      <c r="I87" s="11"/>
      <c r="J87" s="11"/>
      <c r="K87" s="11"/>
      <c r="L87" s="11"/>
      <c r="M87" s="11"/>
      <c r="N87" s="928"/>
      <c r="AH87" s="1"/>
      <c r="AI87" s="20"/>
    </row>
    <row r="88" spans="1:35" ht="16.149999999999999" customHeight="1" thickBot="1">
      <c r="A88" s="522" t="s">
        <v>149</v>
      </c>
      <c r="B88" s="388"/>
      <c r="C88" s="526" t="s">
        <v>88</v>
      </c>
      <c r="D88" s="388"/>
      <c r="E88" s="388"/>
      <c r="F88" s="388"/>
      <c r="G88" s="388"/>
      <c r="H88" s="388"/>
      <c r="I88" s="388"/>
      <c r="J88" s="388"/>
      <c r="K88" s="388"/>
      <c r="L88" s="388"/>
      <c r="M88" s="388"/>
      <c r="N88" s="931"/>
    </row>
    <row r="89" spans="1:35" ht="6" customHeight="1">
      <c r="A89" s="523"/>
      <c r="B89" s="3"/>
      <c r="C89" s="3"/>
      <c r="N89" s="2"/>
      <c r="AH89" s="1"/>
      <c r="AI89" s="1"/>
    </row>
    <row r="90" spans="1:35" ht="14.45" customHeight="1">
      <c r="A90" s="523"/>
      <c r="B90" s="3"/>
      <c r="C90" s="5" t="s">
        <v>792</v>
      </c>
      <c r="N90" s="2"/>
      <c r="AH90" s="1"/>
      <c r="AI90" s="1"/>
    </row>
    <row r="91" spans="1:35" ht="18" customHeight="1">
      <c r="A91" s="441"/>
      <c r="B91" s="94" t="s">
        <v>154</v>
      </c>
      <c r="C91" s="5" t="s">
        <v>683</v>
      </c>
      <c r="D91" s="3"/>
      <c r="E91" s="3"/>
      <c r="F91" s="3"/>
      <c r="G91" s="3"/>
      <c r="H91" s="3"/>
      <c r="I91" s="3"/>
      <c r="J91" s="3"/>
      <c r="K91" s="3"/>
      <c r="L91" s="3"/>
      <c r="M91" s="3"/>
      <c r="N91" s="705"/>
      <c r="O91" s="539"/>
      <c r="P91" s="539"/>
      <c r="Q91" s="539"/>
      <c r="AH91" s="1"/>
      <c r="AI91" s="1"/>
    </row>
    <row r="92" spans="1:35" ht="19.899999999999999" customHeight="1">
      <c r="A92" s="530"/>
      <c r="B92" s="59"/>
      <c r="C92" s="967" t="str">
        <f>K10</f>
        <v/>
      </c>
      <c r="D92" s="968"/>
      <c r="E92" s="4" t="s">
        <v>684</v>
      </c>
      <c r="F92" s="994"/>
      <c r="G92" s="995"/>
      <c r="H92" s="8" t="s">
        <v>1332</v>
      </c>
      <c r="I92" s="967" t="str">
        <f>K8</f>
        <v/>
      </c>
      <c r="J92" s="968"/>
      <c r="K92" s="8" t="s">
        <v>682</v>
      </c>
      <c r="L92" s="967" t="str">
        <f>IF(ISBLANK(D18),"",(C92*(F92+I92)))</f>
        <v/>
      </c>
      <c r="M92" s="968"/>
      <c r="N92" s="443" t="s">
        <v>31</v>
      </c>
      <c r="O92" s="539"/>
      <c r="AH92" s="1"/>
      <c r="AI92" s="1"/>
    </row>
    <row r="93" spans="1:35" ht="6" customHeight="1">
      <c r="A93" s="523"/>
      <c r="B93" s="3"/>
      <c r="C93" s="3"/>
      <c r="D93" s="3"/>
      <c r="E93" s="3"/>
      <c r="F93" s="3"/>
      <c r="G93" s="3"/>
      <c r="N93" s="2"/>
      <c r="P93" s="539"/>
      <c r="Q93" s="539"/>
      <c r="AH93" s="1"/>
      <c r="AI93" s="1"/>
    </row>
    <row r="94" spans="1:35" ht="18" customHeight="1">
      <c r="A94" s="442"/>
      <c r="B94" s="94" t="s">
        <v>527</v>
      </c>
      <c r="C94" s="5" t="s">
        <v>1288</v>
      </c>
      <c r="D94" s="23"/>
      <c r="E94" s="23"/>
      <c r="F94" s="8"/>
      <c r="G94" s="23"/>
      <c r="H94" s="23"/>
      <c r="I94" s="8"/>
      <c r="J94" s="23"/>
      <c r="K94" s="23"/>
      <c r="L94" s="8"/>
      <c r="M94" s="8"/>
      <c r="N94" s="705"/>
      <c r="O94" s="539"/>
      <c r="P94" s="539"/>
      <c r="Q94" s="539"/>
      <c r="AH94" s="1"/>
      <c r="AI94" s="1"/>
    </row>
    <row r="95" spans="1:35" ht="19.899999999999999" customHeight="1">
      <c r="A95" s="523"/>
      <c r="B95" s="59"/>
      <c r="C95" s="967" t="str">
        <f>L92</f>
        <v/>
      </c>
      <c r="D95" s="968"/>
      <c r="E95" s="65" t="s">
        <v>1287</v>
      </c>
      <c r="F95" s="3"/>
      <c r="G95" s="3"/>
      <c r="I95" s="1352" t="str">
        <f>IF(ISBLANK(F92)," ",(D18)+0.25)</f>
        <v xml:space="preserve"> </v>
      </c>
      <c r="J95" s="1360"/>
      <c r="K95" s="65" t="s">
        <v>1286</v>
      </c>
      <c r="L95" s="967" t="str">
        <f>IF(ISBLANK(D18),"",(C95*I95)/2)</f>
        <v/>
      </c>
      <c r="M95" s="968"/>
      <c r="N95" s="443" t="s">
        <v>33</v>
      </c>
      <c r="AH95" s="1"/>
      <c r="AI95" s="1"/>
    </row>
    <row r="96" spans="1:35" ht="6" customHeight="1">
      <c r="A96" s="523"/>
      <c r="B96" s="3"/>
      <c r="C96" s="3"/>
      <c r="D96" s="3"/>
      <c r="E96" s="3"/>
      <c r="F96" s="3"/>
      <c r="G96" s="4"/>
      <c r="N96" s="2"/>
      <c r="P96" s="545"/>
      <c r="Q96" s="545"/>
      <c r="AH96" s="1"/>
      <c r="AI96" s="1"/>
    </row>
    <row r="97" spans="1:35" ht="18" customHeight="1">
      <c r="A97" s="442"/>
      <c r="B97" s="94" t="s">
        <v>156</v>
      </c>
      <c r="C97" s="5" t="s">
        <v>505</v>
      </c>
      <c r="D97" s="23"/>
      <c r="E97" s="23"/>
      <c r="F97" s="3"/>
      <c r="G97" s="3"/>
      <c r="H97" s="3"/>
      <c r="I97" s="9"/>
      <c r="J97" s="3"/>
      <c r="K97" s="3"/>
      <c r="N97" s="2"/>
      <c r="AH97" s="1"/>
      <c r="AI97" s="1"/>
    </row>
    <row r="98" spans="1:35" ht="19.5" customHeight="1">
      <c r="A98" s="523"/>
      <c r="B98" s="3"/>
      <c r="C98" s="967" t="str">
        <f>L95</f>
        <v/>
      </c>
      <c r="D98" s="968"/>
      <c r="E98" s="8" t="s">
        <v>90</v>
      </c>
      <c r="F98" s="9">
        <v>27</v>
      </c>
      <c r="G98" s="4" t="s">
        <v>107</v>
      </c>
      <c r="H98" s="967" t="str">
        <f>IF(ISBLANK(D18),"",C98/27)</f>
        <v/>
      </c>
      <c r="I98" s="968"/>
      <c r="J98" s="8" t="s">
        <v>899</v>
      </c>
      <c r="K98" s="23"/>
      <c r="L98" s="4"/>
      <c r="M98" s="1350"/>
      <c r="N98" s="1351"/>
      <c r="O98" s="539"/>
      <c r="P98" s="545"/>
      <c r="Q98" s="545"/>
      <c r="AH98" s="1"/>
      <c r="AI98" s="1"/>
    </row>
    <row r="99" spans="1:35" ht="6.75" customHeight="1">
      <c r="A99" s="523"/>
      <c r="B99" s="3"/>
      <c r="C99" s="3"/>
      <c r="D99" s="3"/>
      <c r="E99" s="3"/>
      <c r="F99" s="3"/>
      <c r="G99" s="3"/>
      <c r="N99" s="2"/>
      <c r="O99" s="539"/>
      <c r="P99" s="545"/>
      <c r="Q99" s="545"/>
      <c r="AH99" s="1"/>
      <c r="AI99" s="1"/>
    </row>
    <row r="100" spans="1:35" ht="19.5" customHeight="1">
      <c r="A100" s="523"/>
      <c r="B100" s="3" t="s">
        <v>476</v>
      </c>
      <c r="C100" s="3" t="s">
        <v>597</v>
      </c>
      <c r="D100" s="3"/>
      <c r="E100" s="3"/>
      <c r="F100" s="3"/>
      <c r="G100" s="3"/>
      <c r="H100" s="967" t="str">
        <f>H98</f>
        <v/>
      </c>
      <c r="I100" s="968"/>
      <c r="J100" s="1136" t="s">
        <v>902</v>
      </c>
      <c r="K100" s="1137"/>
      <c r="L100" s="967" t="str">
        <f>IF(ISBLANK(D18),"",H100*1.2)</f>
        <v/>
      </c>
      <c r="M100" s="968"/>
      <c r="N100" s="443" t="s">
        <v>34</v>
      </c>
      <c r="Q100" s="545"/>
      <c r="AH100" s="1"/>
      <c r="AI100" s="1"/>
    </row>
    <row r="101" spans="1:35" ht="6" customHeight="1">
      <c r="A101" s="523"/>
      <c r="B101" s="3"/>
      <c r="C101" s="3"/>
      <c r="D101" s="3"/>
      <c r="E101" s="3"/>
      <c r="F101" s="3"/>
      <c r="G101" s="3"/>
      <c r="N101" s="2"/>
      <c r="O101" s="539"/>
      <c r="P101" s="545"/>
      <c r="Q101" s="545"/>
      <c r="AH101" s="1"/>
      <c r="AI101" s="1"/>
    </row>
    <row r="102" spans="1:35" ht="18" customHeight="1">
      <c r="A102" s="442"/>
      <c r="B102" s="94" t="s">
        <v>477</v>
      </c>
      <c r="C102" s="5" t="s">
        <v>89</v>
      </c>
      <c r="D102" s="23"/>
      <c r="E102" s="23"/>
      <c r="F102" s="9"/>
      <c r="G102" s="9"/>
      <c r="H102" s="9"/>
      <c r="I102" s="23"/>
      <c r="J102" s="23"/>
      <c r="K102" s="8"/>
      <c r="L102" s="8"/>
      <c r="M102" s="3"/>
      <c r="N102" s="705"/>
      <c r="O102" s="539"/>
      <c r="P102" s="539"/>
      <c r="Q102" s="539"/>
      <c r="AH102" s="1"/>
      <c r="AI102" s="1"/>
    </row>
    <row r="103" spans="1:35" ht="18" customHeight="1">
      <c r="A103" s="523"/>
      <c r="C103" s="5" t="s">
        <v>506</v>
      </c>
      <c r="D103" s="3"/>
      <c r="E103" s="3"/>
      <c r="F103" s="3"/>
      <c r="G103" s="3"/>
      <c r="H103" s="3"/>
      <c r="I103" s="3"/>
      <c r="J103" s="3"/>
      <c r="K103" s="3"/>
      <c r="L103" s="3"/>
      <c r="M103" s="3"/>
      <c r="N103" s="705"/>
      <c r="O103" s="539"/>
      <c r="P103" s="539"/>
      <c r="Q103" s="536"/>
      <c r="AH103" s="1"/>
      <c r="AI103" s="1"/>
    </row>
    <row r="104" spans="1:35" ht="19.899999999999999" customHeight="1">
      <c r="A104" s="523"/>
      <c r="B104" s="3"/>
      <c r="C104" s="967" t="str">
        <f>IF(ISBLANK(#REF!),"",I47)</f>
        <v/>
      </c>
      <c r="D104" s="968"/>
      <c r="E104" s="8" t="s">
        <v>127</v>
      </c>
      <c r="F104" s="967" t="str">
        <f>IF(ISBLANK(#REF!),"",L49)</f>
        <v/>
      </c>
      <c r="G104" s="968"/>
      <c r="H104" s="8" t="s">
        <v>901</v>
      </c>
      <c r="I104" s="3" t="s">
        <v>900</v>
      </c>
      <c r="J104" s="967" t="str">
        <f>IF(ISBLANK(#REF!),"",L95)</f>
        <v/>
      </c>
      <c r="K104" s="968"/>
      <c r="L104" s="4" t="s">
        <v>791</v>
      </c>
      <c r="M104" s="967" t="str">
        <f>IF(ISBLANK(D18),"",(C104*F104*1.5/2)-J104)</f>
        <v/>
      </c>
      <c r="N104" s="1363"/>
      <c r="AH104" s="1"/>
      <c r="AI104" s="1"/>
    </row>
    <row r="105" spans="1:35" ht="6" customHeight="1">
      <c r="A105" s="523"/>
      <c r="B105" s="3"/>
      <c r="C105" s="3"/>
      <c r="D105" s="3"/>
      <c r="E105" s="3"/>
      <c r="F105" s="3"/>
      <c r="G105" s="527"/>
      <c r="H105" s="527"/>
      <c r="I105" s="4"/>
      <c r="J105" s="527"/>
      <c r="K105" s="527"/>
      <c r="L105" s="4"/>
      <c r="M105" s="527"/>
      <c r="N105" s="932"/>
      <c r="O105" s="537"/>
      <c r="P105" s="537"/>
      <c r="Q105" s="536"/>
      <c r="AH105" s="1"/>
      <c r="AI105" s="1"/>
    </row>
    <row r="106" spans="1:35" ht="18" customHeight="1">
      <c r="A106" s="442"/>
      <c r="B106" s="94" t="s">
        <v>539</v>
      </c>
      <c r="C106" s="5" t="s">
        <v>675</v>
      </c>
      <c r="D106" s="3"/>
      <c r="E106" s="3"/>
      <c r="F106" s="3"/>
      <c r="G106" s="3"/>
      <c r="H106" s="3"/>
      <c r="I106" s="3"/>
      <c r="J106" s="3"/>
      <c r="K106" s="3"/>
      <c r="L106" s="3"/>
      <c r="M106" s="3"/>
      <c r="N106" s="705"/>
      <c r="O106" s="539"/>
      <c r="P106" s="539"/>
      <c r="Q106" s="539"/>
      <c r="AH106" s="1"/>
      <c r="AI106" s="1"/>
    </row>
    <row r="107" spans="1:35" ht="19.899999999999999" customHeight="1">
      <c r="A107" s="523"/>
      <c r="B107" s="59"/>
      <c r="C107" s="967" t="str">
        <f>M104</f>
        <v/>
      </c>
      <c r="D107" s="968"/>
      <c r="E107" s="4" t="s">
        <v>86</v>
      </c>
      <c r="F107" s="78">
        <v>27</v>
      </c>
      <c r="G107" s="4" t="s">
        <v>107</v>
      </c>
      <c r="H107" s="967" t="str">
        <f>IF(ISBLANK(D18),"",C107/27)</f>
        <v/>
      </c>
      <c r="I107" s="968"/>
      <c r="J107" s="8" t="s">
        <v>34</v>
      </c>
      <c r="N107" s="2"/>
      <c r="O107" s="537"/>
      <c r="P107" s="537"/>
      <c r="Q107" s="536"/>
      <c r="AH107" s="1"/>
      <c r="AI107" s="1"/>
    </row>
    <row r="108" spans="1:35" ht="6" customHeight="1">
      <c r="A108" s="523"/>
      <c r="B108" s="3"/>
      <c r="C108" s="3" t="s">
        <v>44</v>
      </c>
      <c r="D108" s="3"/>
      <c r="E108" s="3"/>
      <c r="F108" s="527"/>
      <c r="G108" s="527"/>
      <c r="H108" s="4"/>
      <c r="I108" s="527"/>
      <c r="J108" s="527"/>
      <c r="K108" s="4"/>
      <c r="L108" s="3"/>
      <c r="M108" s="3"/>
      <c r="N108" s="705"/>
      <c r="O108" s="539"/>
      <c r="P108" s="539"/>
      <c r="Q108" s="536"/>
      <c r="AH108" s="1"/>
      <c r="AI108" s="1"/>
    </row>
    <row r="109" spans="1:35" ht="19.899999999999999" customHeight="1">
      <c r="A109" s="442"/>
      <c r="B109" s="94" t="s">
        <v>540</v>
      </c>
      <c r="C109" s="3" t="s">
        <v>597</v>
      </c>
      <c r="D109" s="3"/>
      <c r="E109" s="3"/>
      <c r="F109" s="3"/>
      <c r="G109" s="967" t="str">
        <f>H107</f>
        <v/>
      </c>
      <c r="H109" s="968"/>
      <c r="I109" s="4" t="s">
        <v>87</v>
      </c>
      <c r="J109" s="23">
        <v>1.2</v>
      </c>
      <c r="K109" s="4" t="s">
        <v>107</v>
      </c>
      <c r="L109" s="967" t="str">
        <f>IF(ISBLANK(D18),"",G109*1.2)</f>
        <v/>
      </c>
      <c r="M109" s="968"/>
      <c r="N109" s="443" t="s">
        <v>34</v>
      </c>
      <c r="O109" s="539"/>
      <c r="P109" s="539"/>
      <c r="AH109" s="1"/>
      <c r="AI109" s="1"/>
    </row>
    <row r="110" spans="1:35" ht="6" customHeight="1">
      <c r="A110" s="523"/>
      <c r="B110" s="3"/>
      <c r="C110" s="3"/>
      <c r="D110" s="3"/>
      <c r="E110" s="3"/>
      <c r="F110" s="3"/>
      <c r="G110" s="3"/>
      <c r="H110" s="3"/>
      <c r="I110" s="3"/>
      <c r="J110" s="3"/>
      <c r="K110" s="23"/>
      <c r="L110" s="23"/>
      <c r="M110" s="4"/>
      <c r="N110" s="925"/>
      <c r="O110" s="537"/>
      <c r="P110" s="537"/>
      <c r="Q110" s="536"/>
      <c r="AH110" s="1"/>
      <c r="AI110" s="1"/>
    </row>
    <row r="111" spans="1:35" ht="18" customHeight="1">
      <c r="A111" s="442"/>
      <c r="B111" s="94" t="s">
        <v>541</v>
      </c>
      <c r="C111" s="3" t="s">
        <v>502</v>
      </c>
      <c r="D111" s="3"/>
      <c r="E111" s="3"/>
      <c r="F111" s="3"/>
      <c r="G111" s="3"/>
      <c r="H111" s="3"/>
      <c r="I111" s="3"/>
      <c r="J111" s="3"/>
      <c r="K111" s="23"/>
      <c r="L111" s="23"/>
      <c r="M111" s="4"/>
      <c r="N111" s="925"/>
      <c r="O111" s="537"/>
      <c r="P111" s="537"/>
      <c r="Q111" s="536"/>
      <c r="AH111" s="1"/>
      <c r="AI111" s="1"/>
    </row>
    <row r="112" spans="1:35" ht="19.899999999999999" customHeight="1">
      <c r="A112" s="523"/>
      <c r="B112" s="3"/>
      <c r="C112" s="967" t="str">
        <f>IF(ISBLANK(#REF!),"",I47)</f>
        <v/>
      </c>
      <c r="D112" s="968"/>
      <c r="E112" s="4" t="s">
        <v>127</v>
      </c>
      <c r="F112" s="967" t="str">
        <f>IF(ISBLANK(#REF!),"",L49)</f>
        <v/>
      </c>
      <c r="G112" s="968"/>
      <c r="H112" s="4" t="s">
        <v>128</v>
      </c>
      <c r="I112" s="23">
        <v>0.5</v>
      </c>
      <c r="J112" s="4" t="s">
        <v>107</v>
      </c>
      <c r="K112" s="967" t="str">
        <f>IF(ISBLANK(D18),"",C112*F112*0.5)</f>
        <v/>
      </c>
      <c r="L112" s="968"/>
      <c r="M112" s="8" t="s">
        <v>33</v>
      </c>
      <c r="N112" s="2"/>
      <c r="AH112" s="1"/>
      <c r="AI112" s="1"/>
    </row>
    <row r="113" spans="1:35" ht="6" customHeight="1">
      <c r="A113" s="523"/>
      <c r="B113" s="3"/>
      <c r="C113" s="3"/>
      <c r="D113" s="3"/>
      <c r="E113" s="3"/>
      <c r="F113" s="3"/>
      <c r="G113" s="3"/>
      <c r="H113" s="4"/>
      <c r="I113" s="4"/>
      <c r="J113" s="4"/>
      <c r="K113" s="4"/>
      <c r="L113" s="4"/>
      <c r="M113" s="4"/>
      <c r="N113" s="925"/>
      <c r="O113" s="421"/>
      <c r="P113" s="421"/>
      <c r="Q113" s="536"/>
      <c r="AH113" s="1"/>
      <c r="AI113" s="1"/>
    </row>
    <row r="114" spans="1:35" ht="18" customHeight="1">
      <c r="A114" s="442"/>
      <c r="B114" s="94" t="s">
        <v>542</v>
      </c>
      <c r="C114" s="5" t="s">
        <v>676</v>
      </c>
      <c r="D114" s="3"/>
      <c r="E114" s="3"/>
      <c r="F114" s="3"/>
      <c r="G114" s="3"/>
      <c r="H114" s="3"/>
      <c r="I114" s="3"/>
      <c r="J114" s="3"/>
      <c r="K114" s="3"/>
      <c r="L114" s="3"/>
      <c r="M114" s="3"/>
      <c r="N114" s="705"/>
      <c r="O114" s="537"/>
      <c r="P114" s="537"/>
      <c r="Q114" s="536"/>
      <c r="AH114" s="1"/>
      <c r="AI114" s="1"/>
    </row>
    <row r="115" spans="1:35" ht="19.899999999999999" customHeight="1">
      <c r="A115" s="523"/>
      <c r="B115" s="3"/>
      <c r="C115" s="967" t="str">
        <f>IF(ISBLANK(#REF!),"",K112)</f>
        <v/>
      </c>
      <c r="D115" s="968"/>
      <c r="E115" s="8" t="s">
        <v>90</v>
      </c>
      <c r="F115" s="9">
        <v>27</v>
      </c>
      <c r="G115" s="4" t="s">
        <v>107</v>
      </c>
      <c r="H115" s="967" t="str">
        <f>IF(ISBLANK(D18),"",C115/27)</f>
        <v/>
      </c>
      <c r="I115" s="968"/>
      <c r="J115" s="8" t="s">
        <v>34</v>
      </c>
      <c r="K115" s="23"/>
      <c r="L115" s="23"/>
      <c r="M115" s="8"/>
      <c r="N115" s="2"/>
      <c r="AH115" s="1"/>
      <c r="AI115" s="1"/>
    </row>
    <row r="116" spans="1:35" ht="6" customHeight="1">
      <c r="A116" s="523"/>
      <c r="B116" s="3"/>
      <c r="C116" s="3"/>
      <c r="D116" s="3"/>
      <c r="E116" s="3"/>
      <c r="F116" s="3"/>
      <c r="G116" s="3"/>
      <c r="H116" s="23"/>
      <c r="I116" s="23"/>
      <c r="J116" s="8"/>
      <c r="K116" s="9"/>
      <c r="L116" s="4"/>
      <c r="M116" s="23"/>
      <c r="N116" s="925"/>
      <c r="O116" s="537"/>
      <c r="P116" s="537"/>
      <c r="Q116" s="536"/>
      <c r="AH116" s="1"/>
      <c r="AI116" s="1"/>
    </row>
    <row r="117" spans="1:35" ht="19.899999999999999" customHeight="1">
      <c r="A117" s="442"/>
      <c r="B117" s="94" t="s">
        <v>598</v>
      </c>
      <c r="C117" s="3" t="s">
        <v>597</v>
      </c>
      <c r="D117" s="3"/>
      <c r="E117" s="3"/>
      <c r="F117" s="3"/>
      <c r="G117" s="967" t="str">
        <f>H115</f>
        <v/>
      </c>
      <c r="H117" s="968"/>
      <c r="I117" s="8" t="s">
        <v>893</v>
      </c>
      <c r="J117" s="23">
        <v>1.2</v>
      </c>
      <c r="K117" s="4" t="s">
        <v>107</v>
      </c>
      <c r="L117" s="967" t="str">
        <f>IF(ISBLANK(K43),"",G117*1.2)</f>
        <v/>
      </c>
      <c r="M117" s="968"/>
      <c r="N117" s="443" t="s">
        <v>34</v>
      </c>
      <c r="AH117" s="1"/>
      <c r="AI117" s="1"/>
    </row>
    <row r="118" spans="1:35" ht="6" customHeight="1" thickBot="1">
      <c r="A118" s="523"/>
      <c r="N118" s="2"/>
      <c r="AH118" s="1"/>
      <c r="AI118" s="1"/>
    </row>
    <row r="119" spans="1:35" ht="16.149999999999999" customHeight="1" thickBot="1">
      <c r="A119" s="522" t="s">
        <v>96</v>
      </c>
      <c r="B119" s="388"/>
      <c r="C119" s="398" t="s">
        <v>39</v>
      </c>
      <c r="D119" s="398"/>
      <c r="E119" s="398"/>
      <c r="F119" s="398"/>
      <c r="G119" s="398"/>
      <c r="H119" s="398"/>
      <c r="I119" s="398"/>
      <c r="J119" s="398"/>
      <c r="K119" s="398"/>
      <c r="L119" s="398"/>
      <c r="M119" s="398"/>
      <c r="N119" s="525"/>
      <c r="O119" s="544"/>
      <c r="P119" s="544"/>
      <c r="Q119" s="544"/>
      <c r="AH119" s="1"/>
      <c r="AI119" s="1"/>
    </row>
    <row r="120" spans="1:35" ht="6" customHeight="1">
      <c r="A120" s="523"/>
      <c r="C120" s="94"/>
      <c r="D120" s="94"/>
      <c r="E120" s="94"/>
      <c r="F120" s="94"/>
      <c r="G120" s="94"/>
      <c r="H120" s="94"/>
      <c r="I120" s="94"/>
      <c r="J120" s="94"/>
      <c r="K120" s="94"/>
      <c r="L120" s="94"/>
      <c r="M120" s="94"/>
      <c r="N120" s="933"/>
      <c r="O120" s="544"/>
      <c r="P120" s="544"/>
      <c r="Q120" s="544"/>
      <c r="AH120" s="1"/>
      <c r="AI120" s="1"/>
    </row>
    <row r="121" spans="1:35" ht="90" customHeight="1">
      <c r="A121" s="523"/>
      <c r="B121" s="1357"/>
      <c r="C121" s="1358"/>
      <c r="D121" s="1358"/>
      <c r="E121" s="1358"/>
      <c r="F121" s="1358"/>
      <c r="G121" s="1358"/>
      <c r="H121" s="1358"/>
      <c r="I121" s="1358"/>
      <c r="J121" s="1358"/>
      <c r="K121" s="1358"/>
      <c r="L121" s="1358"/>
      <c r="M121" s="1358"/>
      <c r="N121" s="1359"/>
      <c r="O121" s="543"/>
      <c r="P121" s="543"/>
      <c r="Q121" s="543"/>
      <c r="AH121" s="1"/>
      <c r="AI121" s="1"/>
    </row>
    <row r="122" spans="1:35" ht="6" customHeight="1" thickBot="1">
      <c r="A122" s="531"/>
      <c r="B122" s="11"/>
      <c r="C122" s="11"/>
      <c r="D122" s="11"/>
      <c r="E122" s="11"/>
      <c r="F122" s="11"/>
      <c r="G122" s="11"/>
      <c r="H122" s="11"/>
      <c r="I122" s="11"/>
      <c r="J122" s="11"/>
      <c r="K122" s="11"/>
      <c r="L122" s="11"/>
      <c r="M122" s="11"/>
      <c r="N122" s="928"/>
      <c r="AH122" s="1"/>
      <c r="AI122" s="1"/>
    </row>
    <row r="123" spans="1:35" ht="14.1" customHeight="1">
      <c r="C123" s="421"/>
      <c r="D123" s="421"/>
      <c r="E123" s="421"/>
      <c r="F123" s="421"/>
      <c r="G123" s="421"/>
      <c r="H123" s="421"/>
      <c r="I123" s="421"/>
      <c r="J123" s="421"/>
      <c r="K123" s="421"/>
      <c r="L123" s="421"/>
      <c r="M123" s="421"/>
      <c r="N123" s="421"/>
      <c r="AH123" s="1"/>
      <c r="AI123" s="1"/>
    </row>
    <row r="124" spans="1:35" ht="14.1" customHeight="1">
      <c r="C124" s="421"/>
      <c r="D124" s="421"/>
      <c r="E124" s="421"/>
      <c r="F124" s="421"/>
      <c r="G124" s="421"/>
      <c r="H124" s="421"/>
      <c r="I124" s="421"/>
      <c r="J124" s="421"/>
      <c r="K124" s="421"/>
      <c r="L124" s="421"/>
      <c r="M124" s="421"/>
      <c r="N124" s="421"/>
      <c r="AH124" s="1"/>
      <c r="AI124" s="1"/>
    </row>
    <row r="125" spans="1:35" ht="14.1" customHeight="1">
      <c r="C125" s="528"/>
      <c r="D125" s="528"/>
      <c r="E125" s="423"/>
      <c r="F125" s="423"/>
      <c r="G125" s="423"/>
      <c r="H125" s="423"/>
      <c r="I125" s="528"/>
      <c r="J125" s="528"/>
      <c r="K125" s="528"/>
      <c r="L125" s="528"/>
      <c r="M125" s="528"/>
      <c r="N125" s="528"/>
      <c r="X125" s="19"/>
      <c r="AH125" s="1"/>
      <c r="AI125" s="1"/>
    </row>
    <row r="126" spans="1:35" ht="14.1" customHeight="1">
      <c r="C126" s="528"/>
      <c r="D126" s="528"/>
      <c r="E126" s="423"/>
      <c r="F126" s="423"/>
      <c r="G126" s="423"/>
      <c r="H126" s="423"/>
      <c r="I126" s="528"/>
      <c r="J126" s="528"/>
      <c r="K126" s="528"/>
      <c r="L126" s="528"/>
      <c r="M126" s="528"/>
      <c r="N126" s="528"/>
      <c r="X126" s="96"/>
      <c r="AH126" s="1"/>
      <c r="AI126" s="1"/>
    </row>
    <row r="127" spans="1:35" ht="14.1" customHeight="1">
      <c r="C127" s="421"/>
      <c r="D127" s="421"/>
      <c r="E127" s="422"/>
      <c r="F127" s="422"/>
      <c r="G127" s="423"/>
      <c r="H127" s="423"/>
      <c r="I127" s="424"/>
      <c r="J127" s="424"/>
      <c r="K127" s="424"/>
      <c r="L127" s="424"/>
      <c r="M127" s="421"/>
      <c r="N127" s="421"/>
      <c r="P127" s="437"/>
      <c r="X127" s="19"/>
      <c r="AH127" s="1"/>
      <c r="AI127" s="1"/>
    </row>
    <row r="128" spans="1:35" ht="14.1" customHeight="1">
      <c r="C128" s="421"/>
      <c r="D128" s="421"/>
      <c r="E128" s="422"/>
      <c r="F128" s="422"/>
      <c r="G128" s="423"/>
      <c r="H128" s="423"/>
      <c r="I128" s="424"/>
      <c r="J128" s="424"/>
      <c r="K128" s="424"/>
      <c r="L128" s="424"/>
      <c r="M128" s="421"/>
      <c r="N128" s="421"/>
      <c r="P128" s="437"/>
      <c r="X128" s="96"/>
      <c r="AH128" s="1"/>
      <c r="AI128" s="1"/>
    </row>
    <row r="129" spans="3:35" ht="14.1" customHeight="1">
      <c r="C129" s="4"/>
      <c r="D129" s="4"/>
      <c r="E129" s="19"/>
      <c r="F129" s="19"/>
      <c r="G129" s="39"/>
      <c r="H129" s="39"/>
      <c r="M129" s="4"/>
      <c r="N129" s="4"/>
      <c r="P129" s="437"/>
      <c r="X129" s="19"/>
      <c r="AH129" s="1"/>
      <c r="AI129" s="1"/>
    </row>
    <row r="130" spans="3:35" ht="14.1" customHeight="1">
      <c r="C130" s="4"/>
      <c r="D130" s="4"/>
      <c r="E130" s="19"/>
      <c r="F130" s="19"/>
      <c r="G130" s="39"/>
      <c r="H130" s="39"/>
      <c r="M130" s="6"/>
      <c r="N130" s="6"/>
      <c r="P130" s="437"/>
      <c r="X130" s="96"/>
      <c r="AH130" s="1"/>
      <c r="AI130" s="1"/>
    </row>
    <row r="131" spans="3:35" ht="14.1" customHeight="1">
      <c r="C131" s="4"/>
      <c r="D131" s="4"/>
      <c r="E131" s="19"/>
      <c r="F131" s="19"/>
      <c r="G131" s="39"/>
      <c r="H131" s="39"/>
      <c r="M131" s="6"/>
      <c r="N131" s="6"/>
      <c r="P131" s="437"/>
      <c r="X131" s="19"/>
      <c r="AH131" s="1"/>
      <c r="AI131" s="1"/>
    </row>
    <row r="132" spans="3:35" ht="14.1" customHeight="1">
      <c r="C132" s="4"/>
      <c r="D132" s="4"/>
      <c r="E132" s="19"/>
      <c r="F132" s="19"/>
      <c r="G132" s="39"/>
      <c r="H132" s="39"/>
      <c r="M132" s="6"/>
      <c r="N132" s="6"/>
      <c r="P132" s="437"/>
      <c r="X132" s="96"/>
    </row>
    <row r="133" spans="3:35" ht="14.1" customHeight="1">
      <c r="C133" s="4"/>
      <c r="D133" s="4"/>
      <c r="E133" s="19"/>
      <c r="F133" s="19"/>
      <c r="G133" s="39"/>
      <c r="H133" s="39"/>
      <c r="M133" s="6"/>
      <c r="N133" s="6"/>
      <c r="P133" s="437"/>
      <c r="X133" s="19"/>
    </row>
    <row r="134" spans="3:35" ht="14.1" customHeight="1">
      <c r="C134" s="4"/>
      <c r="D134" s="4"/>
      <c r="E134" s="19"/>
      <c r="F134" s="19"/>
      <c r="G134" s="39"/>
      <c r="H134" s="39"/>
      <c r="M134" s="6"/>
      <c r="N134" s="6"/>
      <c r="X134" s="96"/>
    </row>
    <row r="135" spans="3:35" ht="14.1" customHeight="1">
      <c r="C135" s="4"/>
      <c r="D135" s="4"/>
      <c r="E135" s="19"/>
      <c r="F135" s="19"/>
      <c r="G135" s="4"/>
      <c r="H135" s="4"/>
      <c r="M135" s="4"/>
      <c r="N135" s="4"/>
      <c r="X135" s="19"/>
    </row>
    <row r="136" spans="3:35" ht="14.1" customHeight="1">
      <c r="C136" s="4"/>
      <c r="D136" s="4"/>
      <c r="E136" s="19"/>
      <c r="F136" s="19"/>
      <c r="G136" s="4"/>
      <c r="H136" s="4"/>
      <c r="M136" s="4"/>
      <c r="N136" s="4"/>
      <c r="X136" s="96"/>
    </row>
    <row r="137" spans="3:35" ht="14.1" customHeight="1">
      <c r="C137" s="4"/>
      <c r="D137" s="4"/>
      <c r="E137" s="19"/>
      <c r="F137" s="19"/>
      <c r="G137" s="4"/>
      <c r="H137" s="4"/>
      <c r="M137" s="4"/>
      <c r="N137" s="4"/>
      <c r="X137" s="19"/>
    </row>
    <row r="138" spans="3:35" ht="14.1" customHeight="1">
      <c r="C138" s="4"/>
      <c r="D138" s="4"/>
      <c r="E138" s="19"/>
      <c r="F138" s="19"/>
      <c r="G138" s="4"/>
      <c r="H138" s="4"/>
      <c r="M138" s="4"/>
      <c r="N138" s="4"/>
      <c r="X138" s="96"/>
    </row>
    <row r="139" spans="3:35" ht="14.1" customHeight="1">
      <c r="C139" s="4"/>
      <c r="D139" s="4"/>
      <c r="E139" s="19"/>
      <c r="F139" s="19"/>
      <c r="G139" s="4"/>
      <c r="H139" s="4"/>
      <c r="M139" s="4"/>
      <c r="N139" s="4"/>
      <c r="X139" s="19"/>
    </row>
    <row r="140" spans="3:35" ht="14.1" customHeight="1">
      <c r="C140" s="4"/>
      <c r="D140" s="4"/>
      <c r="E140" s="19"/>
      <c r="F140" s="19"/>
      <c r="G140" s="4"/>
      <c r="H140" s="4"/>
      <c r="M140" s="4"/>
      <c r="N140" s="4"/>
      <c r="X140" s="96"/>
    </row>
    <row r="141" spans="3:35" ht="14.1" customHeight="1">
      <c r="C141" s="4"/>
      <c r="D141" s="4"/>
      <c r="E141" s="19"/>
      <c r="F141" s="19"/>
      <c r="G141" s="4"/>
      <c r="H141" s="4"/>
      <c r="M141" s="4"/>
      <c r="N141" s="4"/>
      <c r="X141" s="19"/>
    </row>
    <row r="142" spans="3:35" ht="14.1" customHeight="1">
      <c r="C142" s="4"/>
      <c r="D142" s="4"/>
      <c r="E142" s="19"/>
      <c r="F142" s="19"/>
      <c r="G142" s="39"/>
      <c r="H142" s="39"/>
      <c r="M142" s="4"/>
      <c r="N142" s="4"/>
      <c r="X142" s="96"/>
    </row>
    <row r="143" spans="3:35" ht="14.1" customHeight="1">
      <c r="C143" s="4"/>
      <c r="D143" s="4"/>
      <c r="E143" s="19"/>
      <c r="F143" s="19"/>
      <c r="G143" s="39"/>
      <c r="H143" s="39"/>
      <c r="M143" s="4"/>
      <c r="N143" s="4"/>
      <c r="X143" s="19"/>
    </row>
    <row r="144" spans="3:35" ht="14.1" customHeight="1">
      <c r="C144" s="4"/>
      <c r="D144" s="4"/>
      <c r="E144" s="19"/>
      <c r="F144" s="19"/>
      <c r="G144" s="39"/>
      <c r="H144" s="39"/>
      <c r="M144" s="4"/>
      <c r="N144" s="4"/>
      <c r="X144" s="96"/>
    </row>
    <row r="145" spans="3:24" ht="14.1" customHeight="1">
      <c r="C145" s="4"/>
      <c r="D145" s="4"/>
      <c r="E145" s="19"/>
      <c r="F145" s="19"/>
      <c r="G145" s="39"/>
      <c r="H145" s="39"/>
      <c r="M145" s="4"/>
      <c r="N145" s="4"/>
      <c r="X145" s="19"/>
    </row>
    <row r="146" spans="3:24" ht="14.1" customHeight="1">
      <c r="C146" s="4"/>
      <c r="D146" s="4"/>
      <c r="E146" s="19"/>
      <c r="F146" s="19"/>
      <c r="G146" s="39"/>
      <c r="H146" s="39"/>
      <c r="M146" s="4"/>
      <c r="N146" s="4"/>
      <c r="X146" s="96"/>
    </row>
    <row r="147" spans="3:24" ht="14.1" customHeight="1">
      <c r="C147" s="4"/>
      <c r="D147" s="4"/>
      <c r="E147" s="19"/>
      <c r="F147" s="19"/>
      <c r="G147" s="39"/>
      <c r="H147" s="39"/>
      <c r="M147" s="4"/>
      <c r="N147" s="4"/>
      <c r="X147" s="19"/>
    </row>
    <row r="148" spans="3:24" ht="14.1" customHeight="1">
      <c r="C148" s="4"/>
      <c r="D148" s="4"/>
      <c r="E148" s="19"/>
      <c r="F148" s="19"/>
      <c r="G148" s="39"/>
      <c r="H148" s="39"/>
      <c r="M148" s="4"/>
      <c r="N148" s="4"/>
      <c r="X148" s="96"/>
    </row>
    <row r="149" spans="3:24" ht="14.1" customHeight="1">
      <c r="C149" s="39"/>
      <c r="D149" s="39"/>
      <c r="E149" s="19"/>
      <c r="F149" s="19"/>
      <c r="M149" s="4"/>
      <c r="N149" s="4"/>
      <c r="X149" s="19"/>
    </row>
    <row r="150" spans="3:24" ht="14.1" customHeight="1">
      <c r="C150" s="39"/>
      <c r="D150" s="39"/>
      <c r="E150" s="19"/>
      <c r="F150" s="19"/>
      <c r="M150" s="4"/>
      <c r="N150" s="4"/>
      <c r="X150" s="96"/>
    </row>
    <row r="151" spans="3:24" ht="14.1" customHeight="1">
      <c r="C151" s="39"/>
      <c r="D151" s="39"/>
      <c r="E151" s="19"/>
      <c r="F151" s="19"/>
      <c r="G151" s="6"/>
      <c r="H151" s="6"/>
      <c r="M151" s="4"/>
      <c r="N151" s="4"/>
    </row>
    <row r="152" spans="3:24" ht="14.1" customHeight="1">
      <c r="C152" s="39"/>
      <c r="D152" s="39"/>
      <c r="E152" s="19"/>
      <c r="F152" s="19"/>
      <c r="G152" s="6"/>
      <c r="H152" s="6"/>
      <c r="M152" s="4"/>
      <c r="N152" s="4"/>
    </row>
    <row r="153" spans="3:24" ht="14.1" customHeight="1">
      <c r="C153" s="39"/>
      <c r="D153" s="39"/>
      <c r="E153" s="19"/>
      <c r="F153" s="19"/>
      <c r="G153" s="6"/>
      <c r="H153" s="6"/>
      <c r="M153" s="4"/>
      <c r="N153" s="4"/>
    </row>
    <row r="154" spans="3:24" ht="14.1" customHeight="1">
      <c r="C154" s="39"/>
      <c r="D154" s="39"/>
      <c r="E154" s="19"/>
      <c r="F154" s="19"/>
      <c r="M154" s="4"/>
      <c r="N154" s="4"/>
    </row>
    <row r="155" spans="3:24" ht="14.1" customHeight="1">
      <c r="C155" s="39"/>
      <c r="D155" s="39"/>
      <c r="E155" s="19"/>
      <c r="F155" s="19"/>
      <c r="M155" s="4"/>
      <c r="N155" s="4"/>
    </row>
    <row r="156" spans="3:24" ht="14.1" customHeight="1">
      <c r="K156" s="84"/>
      <c r="L156" s="83"/>
    </row>
    <row r="157" spans="3:24" ht="14.1" customHeight="1">
      <c r="C157" s="6"/>
      <c r="D157" s="6"/>
      <c r="E157" s="6"/>
      <c r="F157" s="6"/>
      <c r="G157" s="6"/>
      <c r="H157" s="6"/>
      <c r="J157" s="272"/>
      <c r="K157" s="272"/>
      <c r="L157" s="272"/>
      <c r="M157" s="272"/>
      <c r="N157" s="272"/>
    </row>
    <row r="158" spans="3:24" ht="14.1" customHeight="1">
      <c r="C158" s="1356"/>
      <c r="D158" s="1356"/>
      <c r="E158" s="1356"/>
      <c r="F158" s="1356"/>
      <c r="G158" s="517"/>
      <c r="H158" s="517"/>
      <c r="J158" s="273"/>
      <c r="K158" s="273"/>
      <c r="L158" s="274"/>
      <c r="M158" s="274"/>
      <c r="N158" s="273"/>
    </row>
    <row r="159" spans="3:24" ht="14.1" customHeight="1">
      <c r="C159" s="1356"/>
      <c r="D159" s="1356"/>
      <c r="E159" s="1356"/>
      <c r="F159" s="1356"/>
      <c r="G159" s="517"/>
      <c r="H159" s="517"/>
      <c r="J159" s="273"/>
      <c r="K159" s="273"/>
      <c r="L159" s="274"/>
      <c r="M159" s="274"/>
      <c r="N159" s="273"/>
    </row>
    <row r="160" spans="3:24" ht="14.1" customHeight="1">
      <c r="C160" s="1139"/>
      <c r="D160" s="1139"/>
      <c r="E160" s="1355"/>
      <c r="F160" s="1355"/>
      <c r="G160" s="26"/>
      <c r="H160" s="26"/>
      <c r="J160" s="6"/>
      <c r="K160" s="6"/>
      <c r="L160" s="26"/>
      <c r="M160" s="26"/>
      <c r="N160" s="19"/>
      <c r="U160" s="26"/>
      <c r="V160" s="26"/>
      <c r="W160" s="19"/>
    </row>
    <row r="161" spans="3:23" ht="14.1" customHeight="1">
      <c r="C161" s="1139"/>
      <c r="D161" s="1139"/>
      <c r="E161" s="1355"/>
      <c r="F161" s="1355"/>
      <c r="G161" s="26"/>
      <c r="H161" s="26"/>
      <c r="J161" s="272"/>
      <c r="K161" s="272"/>
      <c r="L161" s="95"/>
      <c r="M161" s="95"/>
      <c r="N161" s="96"/>
      <c r="U161" s="95"/>
      <c r="V161" s="95"/>
      <c r="W161" s="96"/>
    </row>
    <row r="162" spans="3:23" ht="14.1" customHeight="1">
      <c r="C162" s="1139"/>
      <c r="D162" s="1139"/>
      <c r="E162" s="1355"/>
      <c r="F162" s="1355"/>
      <c r="G162" s="26"/>
      <c r="H162" s="26"/>
      <c r="J162" s="6"/>
      <c r="K162" s="6"/>
      <c r="L162" s="26"/>
      <c r="M162" s="26"/>
      <c r="N162" s="19"/>
      <c r="U162" s="26"/>
      <c r="V162" s="26"/>
      <c r="W162" s="19"/>
    </row>
    <row r="163" spans="3:23" ht="14.1" customHeight="1">
      <c r="C163" s="1139"/>
      <c r="D163" s="1139"/>
      <c r="E163" s="1355"/>
      <c r="F163" s="1355"/>
      <c r="G163" s="26"/>
      <c r="H163" s="26"/>
      <c r="J163" s="272"/>
      <c r="K163" s="272"/>
      <c r="L163" s="95"/>
      <c r="M163" s="95"/>
      <c r="N163" s="96"/>
      <c r="U163" s="95"/>
      <c r="V163" s="95"/>
      <c r="W163" s="96"/>
    </row>
    <row r="164" spans="3:23" ht="14.1" customHeight="1">
      <c r="C164" s="1139"/>
      <c r="D164" s="1139"/>
      <c r="E164" s="1355"/>
      <c r="F164" s="1355"/>
      <c r="G164" s="26"/>
      <c r="H164" s="26"/>
      <c r="J164" s="6"/>
      <c r="K164" s="6"/>
      <c r="L164" s="26"/>
      <c r="M164" s="26"/>
      <c r="N164" s="19"/>
      <c r="U164" s="26"/>
      <c r="V164" s="26"/>
      <c r="W164" s="19"/>
    </row>
    <row r="165" spans="3:23" ht="14.1" customHeight="1">
      <c r="C165" s="1139"/>
      <c r="D165" s="1139"/>
      <c r="E165" s="1355"/>
      <c r="F165" s="1355"/>
      <c r="G165" s="26"/>
      <c r="H165" s="26"/>
      <c r="J165" s="272"/>
      <c r="K165" s="272"/>
      <c r="L165" s="95"/>
      <c r="M165" s="95"/>
      <c r="N165" s="96"/>
      <c r="U165" s="95"/>
      <c r="V165" s="95"/>
      <c r="W165" s="96"/>
    </row>
    <row r="166" spans="3:23" ht="14.1" customHeight="1">
      <c r="C166" s="1139"/>
      <c r="D166" s="1139"/>
      <c r="E166" s="1355"/>
      <c r="F166" s="1355"/>
      <c r="G166" s="26"/>
      <c r="H166" s="26"/>
      <c r="J166" s="6"/>
      <c r="K166" s="6"/>
      <c r="L166" s="26"/>
      <c r="M166" s="26"/>
      <c r="N166" s="19"/>
      <c r="U166" s="26"/>
      <c r="V166" s="26"/>
      <c r="W166" s="19"/>
    </row>
    <row r="167" spans="3:23" ht="14.1" customHeight="1">
      <c r="C167" s="1139"/>
      <c r="D167" s="1139"/>
      <c r="E167" s="1355"/>
      <c r="F167" s="1355"/>
      <c r="G167" s="26"/>
      <c r="H167" s="26"/>
      <c r="J167" s="272"/>
      <c r="K167" s="272"/>
      <c r="L167" s="95"/>
      <c r="M167" s="95"/>
      <c r="N167" s="96"/>
      <c r="U167" s="95"/>
      <c r="V167" s="95"/>
      <c r="W167" s="96"/>
    </row>
    <row r="168" spans="3:23" ht="14.1" customHeight="1">
      <c r="C168" s="1365"/>
      <c r="D168" s="1365"/>
      <c r="E168" s="1355"/>
      <c r="F168" s="1355"/>
      <c r="G168" s="26"/>
      <c r="H168" s="26"/>
      <c r="J168" s="269"/>
      <c r="K168" s="269"/>
      <c r="L168" s="26"/>
      <c r="M168" s="26"/>
      <c r="N168" s="19"/>
      <c r="U168" s="26"/>
      <c r="V168" s="26"/>
      <c r="W168" s="19"/>
    </row>
    <row r="169" spans="3:23" ht="14.1" customHeight="1">
      <c r="C169" s="1139"/>
      <c r="D169" s="1139"/>
      <c r="E169" s="1355"/>
      <c r="F169" s="1355"/>
      <c r="G169" s="26"/>
      <c r="H169" s="26"/>
      <c r="J169" s="272"/>
      <c r="K169" s="272"/>
      <c r="L169" s="95"/>
      <c r="M169" s="95"/>
      <c r="N169" s="96"/>
      <c r="U169" s="95"/>
      <c r="V169" s="95"/>
      <c r="W169" s="96"/>
    </row>
    <row r="170" spans="3:23" ht="14.1" customHeight="1">
      <c r="C170" s="1139"/>
      <c r="D170" s="1139"/>
      <c r="E170" s="1355"/>
      <c r="F170" s="1355"/>
      <c r="G170" s="26"/>
      <c r="H170" s="26"/>
      <c r="J170" s="6"/>
      <c r="K170" s="6"/>
      <c r="L170" s="26"/>
      <c r="M170" s="26"/>
      <c r="N170" s="19"/>
      <c r="U170" s="26"/>
      <c r="V170" s="26"/>
      <c r="W170" s="19"/>
    </row>
    <row r="171" spans="3:23" ht="14.1" customHeight="1">
      <c r="C171" s="1139"/>
      <c r="D171" s="1139"/>
      <c r="E171" s="1355"/>
      <c r="F171" s="1355"/>
      <c r="G171" s="26"/>
      <c r="H171" s="26"/>
      <c r="I171" s="60"/>
      <c r="J171" s="272"/>
      <c r="K171" s="272"/>
      <c r="L171" s="95"/>
      <c r="M171" s="95"/>
      <c r="N171" s="96"/>
      <c r="U171" s="95"/>
      <c r="V171" s="95"/>
      <c r="W171" s="96"/>
    </row>
    <row r="172" spans="3:23" ht="14.1" customHeight="1">
      <c r="C172" s="1139"/>
      <c r="D172" s="1139"/>
      <c r="E172" s="1355"/>
      <c r="F172" s="1355"/>
      <c r="G172" s="26"/>
      <c r="H172" s="26"/>
      <c r="I172" s="60"/>
      <c r="J172" s="6"/>
      <c r="K172" s="6"/>
      <c r="L172" s="26"/>
      <c r="M172" s="26"/>
      <c r="N172" s="19"/>
      <c r="U172" s="26"/>
      <c r="V172" s="26"/>
      <c r="W172" s="19"/>
    </row>
    <row r="173" spans="3:23" ht="14.1" customHeight="1">
      <c r="C173" s="1141"/>
      <c r="D173" s="1141"/>
      <c r="E173" s="1364"/>
      <c r="F173" s="1364"/>
      <c r="G173" s="19"/>
      <c r="H173" s="19"/>
      <c r="I173" s="60"/>
      <c r="J173" s="265"/>
      <c r="K173" s="265"/>
      <c r="L173" s="96"/>
      <c r="M173" s="96"/>
      <c r="N173" s="96"/>
      <c r="U173" s="96"/>
      <c r="V173" s="96"/>
      <c r="W173" s="96"/>
    </row>
    <row r="174" spans="3:23" ht="14.1" customHeight="1">
      <c r="C174" s="1141"/>
      <c r="D174" s="1141"/>
      <c r="E174" s="1364"/>
      <c r="F174" s="1364"/>
      <c r="G174" s="19"/>
      <c r="H174" s="19"/>
      <c r="I174" s="60"/>
      <c r="J174" s="4"/>
      <c r="K174" s="4"/>
      <c r="L174" s="19"/>
      <c r="M174" s="19"/>
      <c r="N174" s="19"/>
      <c r="U174" s="19"/>
      <c r="V174" s="19"/>
      <c r="W174" s="19"/>
    </row>
    <row r="175" spans="3:23" ht="14.1" customHeight="1">
      <c r="C175" s="1141"/>
      <c r="D175" s="1141"/>
      <c r="E175" s="1364"/>
      <c r="F175" s="1364"/>
      <c r="G175" s="19"/>
      <c r="H175" s="19"/>
      <c r="I175" s="60"/>
      <c r="J175" s="265"/>
      <c r="K175" s="265"/>
      <c r="L175" s="96"/>
      <c r="M175" s="96"/>
      <c r="N175" s="96"/>
      <c r="U175" s="96"/>
      <c r="V175" s="96"/>
      <c r="W175" s="96"/>
    </row>
    <row r="176" spans="3:23" ht="14.1" customHeight="1">
      <c r="C176" s="1141"/>
      <c r="D176" s="1141"/>
      <c r="E176" s="1364"/>
      <c r="F176" s="1364"/>
      <c r="G176" s="19"/>
      <c r="H176" s="19"/>
      <c r="I176" s="60"/>
      <c r="J176" s="4"/>
      <c r="K176" s="4"/>
      <c r="L176" s="19"/>
      <c r="M176" s="19"/>
      <c r="N176" s="19"/>
      <c r="U176" s="19"/>
      <c r="V176" s="19"/>
      <c r="W176" s="19"/>
    </row>
    <row r="177" spans="3:23" ht="14.1" customHeight="1">
      <c r="C177" s="1141"/>
      <c r="D177" s="1141"/>
      <c r="E177" s="1364"/>
      <c r="F177" s="1364"/>
      <c r="G177" s="19"/>
      <c r="H177" s="19"/>
      <c r="I177" s="60"/>
      <c r="J177" s="265"/>
      <c r="K177" s="265"/>
      <c r="L177" s="96"/>
      <c r="M177" s="96"/>
      <c r="N177" s="96"/>
      <c r="U177" s="96"/>
      <c r="V177" s="96"/>
      <c r="W177" s="96"/>
    </row>
    <row r="178" spans="3:23" ht="14.1" customHeight="1">
      <c r="C178" s="1141"/>
      <c r="D178" s="1141"/>
      <c r="E178" s="1364"/>
      <c r="F178" s="1364"/>
      <c r="G178" s="19"/>
      <c r="H178" s="19"/>
      <c r="I178" s="60"/>
      <c r="J178" s="4"/>
      <c r="K178" s="4"/>
      <c r="L178" s="19"/>
      <c r="M178" s="19"/>
      <c r="N178" s="19"/>
      <c r="U178" s="19"/>
      <c r="V178" s="19"/>
      <c r="W178" s="19"/>
    </row>
    <row r="179" spans="3:23" ht="14.1" customHeight="1">
      <c r="C179" s="1141"/>
      <c r="D179" s="1141"/>
      <c r="E179" s="1364"/>
      <c r="F179" s="1364"/>
      <c r="G179" s="19"/>
      <c r="H179" s="19"/>
      <c r="I179" s="60"/>
      <c r="J179" s="265"/>
      <c r="K179" s="265"/>
      <c r="L179" s="96"/>
      <c r="M179" s="96"/>
      <c r="N179" s="96"/>
      <c r="U179" s="96"/>
      <c r="V179" s="96"/>
      <c r="W179" s="96"/>
    </row>
    <row r="180" spans="3:23" ht="14.1" customHeight="1">
      <c r="C180" s="1141"/>
      <c r="D180" s="1141"/>
      <c r="E180" s="1364"/>
      <c r="F180" s="1364"/>
      <c r="G180" s="19"/>
      <c r="H180" s="19"/>
      <c r="I180" s="60"/>
      <c r="J180" s="4"/>
      <c r="K180" s="4"/>
      <c r="L180" s="19"/>
      <c r="M180" s="19"/>
      <c r="N180" s="19"/>
      <c r="U180" s="19"/>
      <c r="V180" s="19"/>
      <c r="W180" s="19"/>
    </row>
    <row r="181" spans="3:23" ht="14.1" customHeight="1">
      <c r="C181" s="1141"/>
      <c r="D181" s="1141"/>
      <c r="E181" s="1364"/>
      <c r="F181" s="1364"/>
      <c r="G181" s="19"/>
      <c r="H181" s="19"/>
      <c r="I181" s="60"/>
      <c r="J181" s="265"/>
      <c r="K181" s="265"/>
      <c r="L181" s="96"/>
      <c r="M181" s="96"/>
      <c r="N181" s="96"/>
      <c r="U181" s="96"/>
      <c r="V181" s="96"/>
      <c r="W181" s="96"/>
    </row>
    <row r="182" spans="3:23" ht="14.1" customHeight="1">
      <c r="C182" s="1141"/>
      <c r="D182" s="1141"/>
      <c r="E182" s="1364"/>
      <c r="F182" s="1364"/>
      <c r="G182" s="19"/>
      <c r="H182" s="19"/>
      <c r="I182" s="60"/>
      <c r="J182" s="4"/>
      <c r="K182" s="4"/>
      <c r="L182" s="19"/>
      <c r="M182" s="19"/>
      <c r="N182" s="19"/>
      <c r="U182" s="19"/>
      <c r="V182" s="19"/>
      <c r="W182" s="19"/>
    </row>
    <row r="183" spans="3:23" ht="14.1" customHeight="1">
      <c r="C183" s="1141"/>
      <c r="D183" s="1141"/>
      <c r="E183" s="1364"/>
      <c r="F183" s="1364"/>
      <c r="G183" s="19"/>
      <c r="H183" s="19"/>
      <c r="I183" s="60"/>
      <c r="J183" s="265"/>
      <c r="K183" s="265"/>
      <c r="L183" s="96"/>
      <c r="M183" s="96"/>
      <c r="N183" s="96"/>
      <c r="U183" s="96"/>
      <c r="V183" s="96"/>
      <c r="W183" s="96"/>
    </row>
    <row r="184" spans="3:23" ht="14.1" customHeight="1">
      <c r="C184" s="1141"/>
      <c r="D184" s="1141"/>
      <c r="E184" s="1364"/>
      <c r="F184" s="1364"/>
      <c r="G184" s="19"/>
      <c r="H184" s="19"/>
      <c r="J184" s="4"/>
      <c r="K184" s="4"/>
      <c r="L184" s="19"/>
      <c r="M184" s="19"/>
      <c r="N184" s="19"/>
      <c r="U184" s="19"/>
      <c r="V184" s="19"/>
      <c r="W184" s="19"/>
    </row>
    <row r="185" spans="3:23" ht="14.1" customHeight="1">
      <c r="C185" s="1141"/>
      <c r="D185" s="1141"/>
      <c r="E185" s="1364"/>
      <c r="F185" s="1364"/>
      <c r="G185" s="19"/>
      <c r="H185" s="19"/>
      <c r="J185" s="265"/>
      <c r="K185" s="265"/>
      <c r="L185" s="96"/>
      <c r="M185" s="96"/>
      <c r="N185" s="96"/>
      <c r="U185" s="96"/>
      <c r="V185" s="96"/>
      <c r="W185" s="96"/>
    </row>
  </sheetData>
  <sheetProtection sheet="1" objects="1" scenarios="1"/>
  <customSheetViews>
    <customSheetView guid="{3320ADAB-1745-4CE0-B739-BF2E8269138B}" showGridLines="0" fitToPage="1" showRuler="0" topLeftCell="A76">
      <selection activeCell="C96" sqref="C96"/>
      <pageMargins left="0.4" right="0.4" top="0.4" bottom="0.4" header="0.5" footer="0.5"/>
      <printOptions horizontalCentered="1"/>
      <pageSetup scale="48" orientation="portrait" r:id="rId1"/>
      <headerFooter alignWithMargins="0"/>
    </customSheetView>
    <customSheetView guid="{D1431318-1DB8-4C45-813B-5A8065DFC797}" showPageBreaks="1" showGridLines="0" printArea="1" view="pageBreakPreview">
      <selection activeCell="M6" sqref="M6"/>
      <rowBreaks count="3" manualBreakCount="3">
        <brk id="47" max="14" man="1"/>
        <brk id="85" max="14" man="1"/>
        <brk id="118" max="14" man="1"/>
      </rowBreaks>
      <pageMargins left="0.25" right="0.25" top="0.75" bottom="0.75" header="0.3" footer="0.3"/>
      <printOptions horizontalCentered="1"/>
      <pageSetup fitToHeight="2" orientation="portrait" blackAndWhite="1" r:id="rId2"/>
      <headerFooter alignWithMargins="0"/>
    </customSheetView>
  </customSheetViews>
  <mergeCells count="156">
    <mergeCell ref="R25:AC27"/>
    <mergeCell ref="J60:K60"/>
    <mergeCell ref="G60:H60"/>
    <mergeCell ref="D60:E60"/>
    <mergeCell ref="J58:K58"/>
    <mergeCell ref="J51:K51"/>
    <mergeCell ref="G58:H58"/>
    <mergeCell ref="C8:D8"/>
    <mergeCell ref="H12:I12"/>
    <mergeCell ref="J53:K53"/>
    <mergeCell ref="L49:M49"/>
    <mergeCell ref="L35:M35"/>
    <mergeCell ref="H45:I45"/>
    <mergeCell ref="F38:G38"/>
    <mergeCell ref="F49:G49"/>
    <mergeCell ref="D18:E18"/>
    <mergeCell ref="J33:K33"/>
    <mergeCell ref="D33:E33"/>
    <mergeCell ref="I47:J47"/>
    <mergeCell ref="K43:L43"/>
    <mergeCell ref="K45:L45"/>
    <mergeCell ref="C47:D47"/>
    <mergeCell ref="F47:G47"/>
    <mergeCell ref="I49:J49"/>
    <mergeCell ref="E1:J1"/>
    <mergeCell ref="K8:L8"/>
    <mergeCell ref="K10:L10"/>
    <mergeCell ref="F4:G4"/>
    <mergeCell ref="F6:G6"/>
    <mergeCell ref="F12:G12"/>
    <mergeCell ref="I2:J2"/>
    <mergeCell ref="K2:L2"/>
    <mergeCell ref="G8:H8"/>
    <mergeCell ref="G10:H10"/>
    <mergeCell ref="E8:F8"/>
    <mergeCell ref="I8:J8"/>
    <mergeCell ref="C185:D185"/>
    <mergeCell ref="C184:D184"/>
    <mergeCell ref="E183:F183"/>
    <mergeCell ref="E184:F184"/>
    <mergeCell ref="E185:F185"/>
    <mergeCell ref="E179:F179"/>
    <mergeCell ref="C182:D182"/>
    <mergeCell ref="E182:F182"/>
    <mergeCell ref="C180:D180"/>
    <mergeCell ref="E181:F181"/>
    <mergeCell ref="E180:F180"/>
    <mergeCell ref="C183:D183"/>
    <mergeCell ref="C181:D181"/>
    <mergeCell ref="C179:D179"/>
    <mergeCell ref="C170:D170"/>
    <mergeCell ref="E177:F177"/>
    <mergeCell ref="E178:F178"/>
    <mergeCell ref="AE81:AF81"/>
    <mergeCell ref="H115:I115"/>
    <mergeCell ref="G109:H109"/>
    <mergeCell ref="K112:L112"/>
    <mergeCell ref="X81:Y81"/>
    <mergeCell ref="E173:F173"/>
    <mergeCell ref="H107:I107"/>
    <mergeCell ref="L109:M109"/>
    <mergeCell ref="L117:M117"/>
    <mergeCell ref="E169:F169"/>
    <mergeCell ref="C178:D178"/>
    <mergeCell ref="C177:D177"/>
    <mergeCell ref="E176:F176"/>
    <mergeCell ref="E165:F165"/>
    <mergeCell ref="C171:D171"/>
    <mergeCell ref="C176:D176"/>
    <mergeCell ref="C175:D175"/>
    <mergeCell ref="H100:I100"/>
    <mergeCell ref="E162:F162"/>
    <mergeCell ref="F92:G92"/>
    <mergeCell ref="C98:D98"/>
    <mergeCell ref="C161:D161"/>
    <mergeCell ref="C162:D162"/>
    <mergeCell ref="E170:F170"/>
    <mergeCell ref="C163:D163"/>
    <mergeCell ref="C115:D115"/>
    <mergeCell ref="E175:F175"/>
    <mergeCell ref="C169:D169"/>
    <mergeCell ref="E171:F171"/>
    <mergeCell ref="C174:D174"/>
    <mergeCell ref="E174:F174"/>
    <mergeCell ref="C168:D168"/>
    <mergeCell ref="E168:F168"/>
    <mergeCell ref="C164:D164"/>
    <mergeCell ref="C165:D165"/>
    <mergeCell ref="C166:D166"/>
    <mergeCell ref="E164:F164"/>
    <mergeCell ref="E166:F166"/>
    <mergeCell ref="C167:D167"/>
    <mergeCell ref="E167:F167"/>
    <mergeCell ref="E163:F163"/>
    <mergeCell ref="E161:F161"/>
    <mergeCell ref="C172:D172"/>
    <mergeCell ref="C173:D173"/>
    <mergeCell ref="E172:F172"/>
    <mergeCell ref="S71:AD72"/>
    <mergeCell ref="U81:V81"/>
    <mergeCell ref="M104:N104"/>
    <mergeCell ref="L92:M92"/>
    <mergeCell ref="I92:J92"/>
    <mergeCell ref="V79:W79"/>
    <mergeCell ref="L95:M95"/>
    <mergeCell ref="H98:I98"/>
    <mergeCell ref="J100:K100"/>
    <mergeCell ref="L100:M100"/>
    <mergeCell ref="J104:K104"/>
    <mergeCell ref="C10:D10"/>
    <mergeCell ref="E160:F160"/>
    <mergeCell ref="C104:D104"/>
    <mergeCell ref="C158:D159"/>
    <mergeCell ref="E158:F159"/>
    <mergeCell ref="B121:N121"/>
    <mergeCell ref="C107:D107"/>
    <mergeCell ref="G117:H117"/>
    <mergeCell ref="C112:D112"/>
    <mergeCell ref="F104:G104"/>
    <mergeCell ref="L21:M21"/>
    <mergeCell ref="C92:D92"/>
    <mergeCell ref="J55:K55"/>
    <mergeCell ref="E10:F10"/>
    <mergeCell ref="J31:K31"/>
    <mergeCell ref="G31:H31"/>
    <mergeCell ref="I95:J95"/>
    <mergeCell ref="I10:J10"/>
    <mergeCell ref="C95:D95"/>
    <mergeCell ref="G33:H33"/>
    <mergeCell ref="D55:E55"/>
    <mergeCell ref="C49:D49"/>
    <mergeCell ref="E45:F45"/>
    <mergeCell ref="C160:D160"/>
    <mergeCell ref="C12:D12"/>
    <mergeCell ref="K29:L29"/>
    <mergeCell ref="K27:L27"/>
    <mergeCell ref="K12:L12"/>
    <mergeCell ref="K38:L38"/>
    <mergeCell ref="F112:G112"/>
    <mergeCell ref="J18:K18"/>
    <mergeCell ref="C19:E19"/>
    <mergeCell ref="L25:M25"/>
    <mergeCell ref="K40:L40"/>
    <mergeCell ref="D38:E38"/>
    <mergeCell ref="I38:J38"/>
    <mergeCell ref="M98:N98"/>
    <mergeCell ref="D31:E31"/>
    <mergeCell ref="D23:E23"/>
    <mergeCell ref="G23:H23"/>
    <mergeCell ref="D25:E25"/>
    <mergeCell ref="J23:K23"/>
    <mergeCell ref="I25:K25"/>
    <mergeCell ref="G25:H25"/>
    <mergeCell ref="G55:H55"/>
    <mergeCell ref="D58:E58"/>
    <mergeCell ref="G14:J14"/>
  </mergeCells>
  <phoneticPr fontId="17" type="noConversion"/>
  <dataValidations count="7">
    <dataValidation allowBlank="1" showInputMessage="1" showErrorMessage="1" prompt="&lt;1% value = 0_x000a_&gt;1% slope &gt;1 foot" sqref="F92:G92" xr:uid="{00000000-0002-0000-0900-000000000000}"/>
    <dataValidation type="list" allowBlank="1" showInputMessage="1" showErrorMessage="1" sqref="K29" xr:uid="{00000000-0002-0000-0900-000001000000}">
      <formula1>AtGradeDown</formula1>
    </dataValidation>
    <dataValidation type="list" allowBlank="1" showInputMessage="1" showErrorMessage="1" sqref="L21" xr:uid="{00000000-0002-0000-0900-000002000000}">
      <formula1>AtGradeUp</formula1>
    </dataValidation>
    <dataValidation type="list" allowBlank="1" showInputMessage="1" showErrorMessage="1" sqref="D18" xr:uid="{00000000-0002-0000-0900-000003000000}">
      <formula1>MediaDepth</formula1>
    </dataValidation>
    <dataValidation allowBlank="1" showInputMessage="1" showErrorMessage="1" error="Cannot exceed 15" sqref="K8:L8" xr:uid="{00000000-0002-0000-0900-000004000000}"/>
    <dataValidation allowBlank="1" showInputMessage="1" showErrorMessage="1" prompt="Select value from Table I" sqref="M6" xr:uid="{00000000-0002-0000-0900-000005000000}"/>
    <dataValidation allowBlank="1" showInputMessage="1" showErrorMessage="1" prompt="Usually 24&quot; _x000a_(12&quot; media, 12&quot; cover)" sqref="H19" xr:uid="{00000000-0002-0000-0900-000006000000}"/>
  </dataValidations>
  <printOptions horizontalCentered="1"/>
  <pageMargins left="0.25" right="0.25" top="0.75" bottom="0.75" header="0.3" footer="0.3"/>
  <pageSetup scale="97" fitToHeight="2" orientation="portrait" blackAndWhite="1" r:id="rId3"/>
  <headerFooter alignWithMargins="0"/>
  <rowBreaks count="2" manualBreakCount="2">
    <brk id="41" max="14" man="1"/>
    <brk id="87" max="14" man="1"/>
  </rowBreaks>
  <ignoredErrors>
    <ignoredError sqref="C21 C22 C24 C27 C29 C30 C32 C35 C37 C40" numberStoredAsText="1"/>
  </ignoredErrors>
  <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FF6600"/>
  </sheetPr>
  <dimension ref="A1:AN86"/>
  <sheetViews>
    <sheetView showGridLines="0" showZeros="0" view="pageBreakPreview" zoomScaleNormal="100" zoomScaleSheetLayoutView="100" workbookViewId="0">
      <selection activeCell="AN28" sqref="AN28"/>
    </sheetView>
  </sheetViews>
  <sheetFormatPr defaultColWidth="5.7109375" defaultRowHeight="15"/>
  <cols>
    <col min="1" max="18" width="5.28515625" style="1" customWidth="1"/>
    <col min="19" max="20" width="5.7109375" style="1" customWidth="1"/>
    <col min="21" max="21" width="19.28515625" style="1" customWidth="1"/>
    <col min="22" max="31" width="5.7109375" style="1" customWidth="1"/>
    <col min="32" max="32" width="16" style="1" customWidth="1"/>
    <col min="33" max="33" width="5.7109375" style="1" customWidth="1"/>
    <col min="34" max="34" width="7.85546875" style="1" customWidth="1"/>
    <col min="35" max="35" width="5.7109375" style="1"/>
    <col min="36" max="36" width="7.42578125" style="1" bestFit="1" customWidth="1"/>
    <col min="37" max="16384" width="5.7109375" style="1"/>
  </cols>
  <sheetData>
    <row r="1" spans="1:40" ht="63.75" customHeight="1">
      <c r="B1" s="216"/>
      <c r="C1" s="216"/>
      <c r="D1" s="1392" t="s">
        <v>606</v>
      </c>
      <c r="E1" s="1392"/>
      <c r="F1" s="1392"/>
      <c r="G1" s="1392"/>
      <c r="H1" s="1392"/>
      <c r="I1" s="1392"/>
      <c r="J1" s="1392"/>
      <c r="K1" s="1392"/>
      <c r="L1" s="1392"/>
      <c r="M1" s="1392"/>
      <c r="O1" s="799"/>
      <c r="P1" s="799"/>
      <c r="Q1" s="799"/>
      <c r="R1" s="799"/>
      <c r="AH1" s="13"/>
      <c r="AI1" s="28"/>
      <c r="AJ1" s="64"/>
      <c r="AM1" s="28"/>
      <c r="AN1" s="25"/>
    </row>
    <row r="2" spans="1:40" s="380" customFormat="1" ht="15.6" customHeight="1">
      <c r="A2" s="787"/>
      <c r="B2" s="788"/>
      <c r="C2" s="788"/>
      <c r="D2" s="788"/>
      <c r="E2" s="788"/>
      <c r="F2" s="788"/>
      <c r="G2" s="788"/>
      <c r="H2" s="788"/>
      <c r="I2" s="1374" t="s">
        <v>832</v>
      </c>
      <c r="J2" s="1374"/>
      <c r="K2" s="1375" t="str">
        <f>IF(ISBLANK('Design Summary'!Q3)," ",'Design Summary'!Q3)</f>
        <v xml:space="preserve"> </v>
      </c>
      <c r="L2" s="1375"/>
      <c r="M2" s="788"/>
      <c r="N2" s="788"/>
      <c r="O2" s="788"/>
      <c r="P2" s="788"/>
      <c r="Q2" s="788"/>
      <c r="R2" s="789" t="str">
        <f>'Drop-Down Lists'!J40</f>
        <v>v 04.20.2016</v>
      </c>
    </row>
    <row r="3" spans="1:40" s="380" customFormat="1" ht="5.45" customHeight="1">
      <c r="A3" s="770"/>
      <c r="B3" s="454"/>
      <c r="C3" s="454"/>
      <c r="D3" s="454"/>
      <c r="E3" s="454"/>
      <c r="F3" s="454"/>
      <c r="G3" s="454"/>
      <c r="H3" s="454"/>
      <c r="I3" s="455"/>
      <c r="J3" s="455"/>
      <c r="K3" s="456"/>
      <c r="L3" s="456"/>
      <c r="M3" s="454"/>
      <c r="N3" s="454"/>
      <c r="O3" s="454"/>
      <c r="P3" s="454"/>
      <c r="Q3" s="454"/>
      <c r="R3" s="771"/>
    </row>
    <row r="4" spans="1:40" ht="19.899999999999999" customHeight="1">
      <c r="A4" s="71" t="s">
        <v>93</v>
      </c>
      <c r="B4" s="8" t="s">
        <v>844</v>
      </c>
      <c r="C4" s="454"/>
      <c r="D4" s="454"/>
      <c r="E4" s="454"/>
      <c r="F4" s="454"/>
      <c r="G4" s="454"/>
      <c r="H4" s="454"/>
      <c r="I4" s="455"/>
      <c r="J4" s="1148"/>
      <c r="K4" s="1149"/>
      <c r="L4" s="456" t="s">
        <v>97</v>
      </c>
      <c r="R4" s="33"/>
      <c r="AH4" s="13"/>
      <c r="AI4" s="28"/>
      <c r="AJ4" s="110"/>
      <c r="AM4" s="28"/>
    </row>
    <row r="5" spans="1:40" ht="19.899999999999999" customHeight="1">
      <c r="A5" s="71" t="s">
        <v>94</v>
      </c>
      <c r="B5" s="3" t="s">
        <v>1204</v>
      </c>
      <c r="D5" s="3"/>
      <c r="E5" s="3"/>
      <c r="F5" s="3"/>
      <c r="G5" s="3"/>
      <c r="J5" s="470"/>
      <c r="K5" s="470"/>
      <c r="N5" s="4"/>
      <c r="O5" s="4"/>
      <c r="R5" s="33"/>
      <c r="AN5" s="25"/>
    </row>
    <row r="6" spans="1:40" ht="6" customHeight="1">
      <c r="A6" s="71"/>
      <c r="B6" s="5"/>
      <c r="D6" s="3"/>
      <c r="E6" s="3"/>
      <c r="F6" s="3"/>
      <c r="G6" s="3"/>
      <c r="J6" s="35"/>
      <c r="K6" s="35"/>
      <c r="M6" s="39"/>
      <c r="N6" s="39"/>
      <c r="O6" s="39"/>
      <c r="R6" s="33"/>
    </row>
    <row r="7" spans="1:40" ht="20.100000000000001" customHeight="1">
      <c r="A7" s="32"/>
      <c r="D7" s="114" t="s">
        <v>1220</v>
      </c>
      <c r="E7" s="961" t="str">
        <f>IF(ISBLANK(J4)," ",J4)</f>
        <v xml:space="preserve"> </v>
      </c>
      <c r="F7" s="962"/>
      <c r="G7" s="1378" t="s">
        <v>1221</v>
      </c>
      <c r="H7" s="1141"/>
      <c r="I7" s="1142"/>
      <c r="J7" s="961" t="str">
        <f>IF(ISBLANK(J4)," ",(ROUNDUP(((J4 - 4)/3+1),0)))</f>
        <v xml:space="preserve"> </v>
      </c>
      <c r="K7" s="962"/>
      <c r="L7" s="1" t="s">
        <v>632</v>
      </c>
      <c r="M7" s="238"/>
      <c r="N7" s="1385" t="s">
        <v>1177</v>
      </c>
      <c r="O7" s="1385"/>
      <c r="P7" s="1385"/>
      <c r="Q7" s="1385"/>
      <c r="R7" s="1386"/>
    </row>
    <row r="8" spans="1:40" ht="6" customHeight="1">
      <c r="A8" s="71"/>
      <c r="B8" s="5"/>
      <c r="D8" s="3"/>
      <c r="E8" s="3"/>
      <c r="F8" s="3"/>
      <c r="G8" s="3"/>
      <c r="J8" s="35"/>
      <c r="K8" s="35"/>
      <c r="M8" s="39"/>
      <c r="N8" s="39"/>
      <c r="O8" s="39"/>
      <c r="R8" s="33"/>
    </row>
    <row r="9" spans="1:40" ht="19.899999999999999" customHeight="1">
      <c r="A9" s="71" t="s">
        <v>148</v>
      </c>
      <c r="B9" s="3" t="s">
        <v>846</v>
      </c>
      <c r="D9" s="3"/>
      <c r="E9" s="3"/>
      <c r="F9" s="3"/>
      <c r="G9" s="3"/>
      <c r="J9" s="1148"/>
      <c r="K9" s="1376"/>
      <c r="L9" s="1" t="s">
        <v>632</v>
      </c>
      <c r="M9" s="4"/>
      <c r="N9" s="4"/>
      <c r="O9" s="4"/>
      <c r="R9" s="33"/>
      <c r="AN9" s="25"/>
    </row>
    <row r="10" spans="1:40" ht="9.75" customHeight="1">
      <c r="A10" s="71"/>
      <c r="B10" s="5" t="s">
        <v>960</v>
      </c>
      <c r="C10" s="3"/>
      <c r="D10" s="3"/>
      <c r="E10" s="3"/>
      <c r="J10" s="1377"/>
      <c r="K10" s="1377"/>
      <c r="L10" s="8"/>
      <c r="N10" s="39"/>
      <c r="O10" s="39"/>
      <c r="R10" s="33"/>
      <c r="AN10" s="25"/>
    </row>
    <row r="11" spans="1:40" ht="19.899999999999999" customHeight="1">
      <c r="A11" s="71" t="s">
        <v>149</v>
      </c>
      <c r="B11" s="3" t="s">
        <v>109</v>
      </c>
      <c r="C11" s="3"/>
      <c r="D11" s="3"/>
      <c r="E11" s="3"/>
      <c r="J11" s="1393"/>
      <c r="K11" s="1394"/>
      <c r="L11" s="8" t="s">
        <v>97</v>
      </c>
      <c r="N11" s="39"/>
      <c r="O11" s="39"/>
      <c r="R11" s="33"/>
      <c r="AN11" s="25"/>
    </row>
    <row r="12" spans="1:40" ht="6" customHeight="1">
      <c r="A12" s="71"/>
      <c r="B12" s="5"/>
      <c r="D12" s="3"/>
      <c r="E12" s="3"/>
      <c r="F12" s="3"/>
      <c r="G12" s="3"/>
      <c r="J12" s="35"/>
      <c r="K12" s="35"/>
      <c r="M12" s="39"/>
      <c r="N12" s="39"/>
      <c r="O12" s="39"/>
      <c r="R12" s="33"/>
    </row>
    <row r="13" spans="1:40" ht="18" customHeight="1">
      <c r="A13" s="236" t="s">
        <v>96</v>
      </c>
      <c r="B13" s="3" t="s">
        <v>845</v>
      </c>
      <c r="C13" s="3"/>
      <c r="D13" s="3"/>
      <c r="E13" s="3"/>
      <c r="J13" s="1060"/>
      <c r="K13" s="1062"/>
      <c r="L13" s="8" t="s">
        <v>99</v>
      </c>
      <c r="N13" s="81">
        <f>IF(J13="1/4","0.25",IF(J13="3/16","0.1875",IF(J13="1/8","0.125",IF(J13="7/32","0.21875",))))</f>
        <v>0</v>
      </c>
      <c r="O13" s="39"/>
      <c r="R13" s="33"/>
    </row>
    <row r="14" spans="1:40" ht="19.899999999999999" customHeight="1">
      <c r="A14" s="71" t="s">
        <v>98</v>
      </c>
      <c r="B14" s="7" t="s">
        <v>833</v>
      </c>
      <c r="C14" s="36"/>
      <c r="D14" s="36"/>
      <c r="E14" s="36"/>
      <c r="F14" s="36"/>
      <c r="G14" s="36"/>
      <c r="H14" s="36"/>
      <c r="I14" s="36"/>
      <c r="J14" s="36"/>
      <c r="K14" s="36"/>
      <c r="L14" s="36"/>
      <c r="M14" s="39"/>
      <c r="N14" s="39"/>
      <c r="O14" s="39"/>
      <c r="R14" s="33"/>
    </row>
    <row r="15" spans="1:40" ht="6" customHeight="1">
      <c r="A15" s="32"/>
      <c r="B15" s="36"/>
      <c r="C15" s="36"/>
      <c r="D15" s="36"/>
      <c r="E15" s="36"/>
      <c r="F15" s="36"/>
      <c r="G15" s="36"/>
      <c r="H15" s="36"/>
      <c r="I15" s="36"/>
      <c r="J15" s="36"/>
      <c r="K15" s="36"/>
      <c r="L15" s="36"/>
      <c r="M15" s="39"/>
      <c r="N15" s="39"/>
      <c r="O15" s="39"/>
      <c r="R15" s="33"/>
    </row>
    <row r="16" spans="1:40" ht="18" customHeight="1">
      <c r="A16" s="32"/>
      <c r="B16" s="1148"/>
      <c r="C16" s="1149"/>
      <c r="D16" s="4" t="s">
        <v>150</v>
      </c>
      <c r="E16" s="4" t="s">
        <v>289</v>
      </c>
      <c r="F16" s="4" t="s">
        <v>107</v>
      </c>
      <c r="G16" s="961" t="str">
        <f>IF(ISBLANK(J9)," ",B16-2)</f>
        <v xml:space="preserve"> </v>
      </c>
      <c r="H16" s="962"/>
      <c r="I16" s="8" t="s">
        <v>97</v>
      </c>
      <c r="J16" s="7" t="s">
        <v>834</v>
      </c>
      <c r="L16" s="39"/>
      <c r="M16" s="39"/>
      <c r="N16" s="39"/>
      <c r="O16" s="39"/>
      <c r="R16" s="33"/>
    </row>
    <row r="17" spans="1:34" ht="6" customHeight="1">
      <c r="A17" s="32"/>
      <c r="B17" s="36"/>
      <c r="C17" s="36"/>
      <c r="D17" s="36"/>
      <c r="E17" s="36"/>
      <c r="F17" s="36"/>
      <c r="G17" s="36"/>
      <c r="H17" s="36"/>
      <c r="I17" s="36"/>
      <c r="J17" s="36"/>
      <c r="K17" s="36"/>
      <c r="L17" s="36"/>
      <c r="M17" s="39"/>
      <c r="N17" s="39"/>
      <c r="O17" s="39"/>
      <c r="R17" s="33"/>
    </row>
    <row r="18" spans="1:34" ht="19.899999999999999" customHeight="1">
      <c r="A18" s="71" t="s">
        <v>100</v>
      </c>
      <c r="B18" s="1056" t="s">
        <v>1139</v>
      </c>
      <c r="C18" s="1056"/>
      <c r="D18" s="1056"/>
      <c r="E18" s="1056"/>
      <c r="F18" s="1056"/>
      <c r="G18" s="1056"/>
      <c r="H18" s="1056"/>
      <c r="I18" s="1056"/>
      <c r="J18" s="1056"/>
      <c r="K18" s="1056"/>
      <c r="L18" s="1056"/>
      <c r="M18" s="1056"/>
      <c r="N18" s="1056"/>
      <c r="O18" s="1056"/>
      <c r="P18" s="1056"/>
      <c r="Q18" s="1056"/>
      <c r="R18" s="1057"/>
    </row>
    <row r="19" spans="1:34" ht="6" customHeight="1">
      <c r="A19" s="71"/>
      <c r="B19" s="1056"/>
      <c r="C19" s="1056"/>
      <c r="D19" s="1056"/>
      <c r="E19" s="1056"/>
      <c r="F19" s="1056"/>
      <c r="G19" s="1056"/>
      <c r="H19" s="1056"/>
      <c r="I19" s="1056"/>
      <c r="J19" s="1056"/>
      <c r="K19" s="1056"/>
      <c r="L19" s="1056"/>
      <c r="M19" s="1056"/>
      <c r="N19" s="1056"/>
      <c r="O19" s="1056"/>
      <c r="P19" s="1056"/>
      <c r="Q19" s="1056"/>
      <c r="R19" s="1057"/>
    </row>
    <row r="20" spans="1:34" ht="6" customHeight="1">
      <c r="A20" s="52"/>
      <c r="B20" s="3"/>
      <c r="C20" s="3"/>
      <c r="D20" s="3"/>
      <c r="E20" s="3"/>
      <c r="F20" s="35"/>
      <c r="G20" s="35"/>
      <c r="H20" s="4"/>
      <c r="I20" s="35"/>
      <c r="J20" s="35"/>
      <c r="L20" s="39"/>
      <c r="M20" s="39"/>
      <c r="N20" s="39"/>
      <c r="O20" s="39"/>
      <c r="R20" s="33"/>
    </row>
    <row r="21" spans="1:34" ht="18" customHeight="1">
      <c r="A21" s="32"/>
      <c r="B21" s="7" t="s">
        <v>111</v>
      </c>
      <c r="C21" s="3"/>
      <c r="G21" s="961" t="str">
        <f>IF(ISBLANK(J9),"",G16)</f>
        <v/>
      </c>
      <c r="H21" s="962"/>
      <c r="I21" s="8" t="s">
        <v>97</v>
      </c>
      <c r="J21" s="9" t="s">
        <v>613</v>
      </c>
      <c r="K21" s="998" t="str">
        <f>IF(ISBLANK(J11)," ",J11)</f>
        <v xml:space="preserve"> </v>
      </c>
      <c r="L21" s="999"/>
      <c r="M21" s="8" t="s">
        <v>97</v>
      </c>
      <c r="N21" s="4" t="s">
        <v>107</v>
      </c>
      <c r="O21" s="998" t="str">
        <f>IF(ISERROR(ROUNDDOWN((G21/K21),0))," ",ROUNDDOWN((G21/K21),0))</f>
        <v xml:space="preserve"> </v>
      </c>
      <c r="P21" s="999"/>
      <c r="Q21" s="3" t="s">
        <v>114</v>
      </c>
      <c r="R21" s="33"/>
    </row>
    <row r="22" spans="1:34" ht="6" customHeight="1">
      <c r="A22" s="52"/>
      <c r="B22" s="3"/>
      <c r="C22" s="3"/>
      <c r="D22" s="3"/>
      <c r="E22" s="3"/>
      <c r="F22" s="35"/>
      <c r="G22" s="35"/>
      <c r="H22" s="4"/>
      <c r="I22" s="35"/>
      <c r="J22" s="35"/>
      <c r="L22" s="39"/>
      <c r="M22" s="39"/>
      <c r="N22" s="39"/>
      <c r="O22" s="39"/>
      <c r="R22" s="33"/>
    </row>
    <row r="23" spans="1:34" ht="40.5" customHeight="1">
      <c r="A23" s="71" t="s">
        <v>102</v>
      </c>
      <c r="B23" s="1382" t="s">
        <v>1142</v>
      </c>
      <c r="C23" s="1383"/>
      <c r="D23" s="1383"/>
      <c r="E23" s="1383"/>
      <c r="F23" s="1383"/>
      <c r="G23" s="1383"/>
      <c r="H23" s="1383"/>
      <c r="I23" s="1383"/>
      <c r="J23" s="1383"/>
      <c r="K23" s="1383"/>
      <c r="L23" s="1383"/>
      <c r="M23" s="1383"/>
      <c r="N23" s="1383"/>
      <c r="O23" s="1383"/>
      <c r="P23" s="1383"/>
      <c r="Q23" s="1383"/>
      <c r="R23" s="1384"/>
      <c r="AH23" s="39"/>
    </row>
    <row r="24" spans="1:34" ht="6" customHeight="1">
      <c r="A24" s="52"/>
      <c r="B24" s="3"/>
      <c r="C24" s="3"/>
      <c r="D24" s="3"/>
      <c r="E24" s="3"/>
      <c r="F24" s="35"/>
      <c r="G24" s="35"/>
      <c r="H24" s="4"/>
      <c r="I24" s="35"/>
      <c r="J24" s="35"/>
      <c r="L24" s="39"/>
      <c r="M24" s="39"/>
      <c r="N24" s="39"/>
      <c r="O24" s="39"/>
      <c r="R24" s="33"/>
    </row>
    <row r="25" spans="1:34" ht="18" customHeight="1">
      <c r="A25" s="52"/>
      <c r="B25" s="1387" t="s">
        <v>117</v>
      </c>
      <c r="C25" s="1387"/>
      <c r="D25" s="1387"/>
      <c r="E25" s="1387"/>
      <c r="F25" s="1387"/>
      <c r="G25" s="1388"/>
      <c r="H25" s="998" t="str">
        <f>O21</f>
        <v xml:space="preserve"> </v>
      </c>
      <c r="I25" s="999"/>
      <c r="J25" s="65" t="s">
        <v>1140</v>
      </c>
      <c r="K25" s="3"/>
      <c r="L25" s="4"/>
      <c r="M25" s="998" t="str">
        <f>IF(ISERROR(H25+1)," ",H25+1)</f>
        <v xml:space="preserve"> </v>
      </c>
      <c r="N25" s="999"/>
      <c r="O25" s="1" t="s">
        <v>558</v>
      </c>
      <c r="R25" s="33"/>
      <c r="V25" s="9"/>
      <c r="Y25" s="3"/>
      <c r="Z25" s="3"/>
      <c r="AA25" s="3"/>
      <c r="AB25" s="3"/>
      <c r="AC25" s="3"/>
      <c r="AD25" s="3"/>
      <c r="AE25" s="3"/>
      <c r="AH25" s="39"/>
    </row>
    <row r="26" spans="1:34" ht="34.5" customHeight="1">
      <c r="A26" s="52"/>
      <c r="B26" s="1379"/>
      <c r="C26" s="1380"/>
      <c r="D26" s="1380"/>
      <c r="E26" s="1380"/>
      <c r="F26" s="1380"/>
      <c r="G26" s="1380"/>
      <c r="H26" s="1380"/>
      <c r="I26" s="1380"/>
      <c r="J26" s="1380"/>
      <c r="K26" s="1380"/>
      <c r="L26" s="1380"/>
      <c r="M26" s="1380"/>
      <c r="N26" s="1380"/>
      <c r="O26" s="1380"/>
      <c r="P26" s="1380"/>
      <c r="Q26" s="1380"/>
      <c r="R26" s="1381"/>
      <c r="V26" s="9"/>
      <c r="Y26" s="3"/>
      <c r="Z26" s="3"/>
      <c r="AA26" s="3"/>
      <c r="AB26" s="3"/>
      <c r="AC26" s="3"/>
      <c r="AD26" s="3"/>
      <c r="AE26" s="3"/>
      <c r="AH26" s="39"/>
    </row>
    <row r="27" spans="1:34" ht="34.5" customHeight="1">
      <c r="A27" s="52"/>
      <c r="B27" s="65"/>
      <c r="C27" s="3"/>
      <c r="D27" s="3"/>
      <c r="E27" s="3"/>
      <c r="F27" s="3"/>
      <c r="G27" s="3"/>
      <c r="H27" s="3"/>
      <c r="I27" s="3"/>
      <c r="J27" s="3"/>
      <c r="R27" s="33"/>
      <c r="V27" s="9"/>
      <c r="Y27" s="3"/>
      <c r="Z27" s="3"/>
      <c r="AA27" s="3"/>
      <c r="AB27" s="3"/>
      <c r="AC27" s="3"/>
      <c r="AD27" s="3"/>
      <c r="AE27" s="3"/>
      <c r="AH27" s="39"/>
    </row>
    <row r="28" spans="1:34" ht="34.5" customHeight="1">
      <c r="A28" s="52"/>
      <c r="B28" s="65"/>
      <c r="C28" s="3"/>
      <c r="D28" s="3"/>
      <c r="E28" s="3"/>
      <c r="F28" s="3"/>
      <c r="G28" s="3"/>
      <c r="H28" s="3"/>
      <c r="I28" s="3"/>
      <c r="J28" s="3"/>
      <c r="R28" s="33"/>
      <c r="V28" s="9"/>
      <c r="Y28" s="3"/>
      <c r="Z28" s="3"/>
      <c r="AA28" s="3"/>
      <c r="AB28" s="3"/>
      <c r="AC28" s="3"/>
      <c r="AD28" s="3"/>
      <c r="AE28" s="3"/>
      <c r="AH28" s="39"/>
    </row>
    <row r="29" spans="1:34" ht="34.5" customHeight="1">
      <c r="A29" s="52"/>
      <c r="B29" s="65"/>
      <c r="C29" s="3"/>
      <c r="D29" s="3"/>
      <c r="E29" s="3"/>
      <c r="F29" s="3"/>
      <c r="G29" s="3"/>
      <c r="H29" s="3"/>
      <c r="I29" s="3"/>
      <c r="J29" s="3"/>
      <c r="R29" s="33"/>
      <c r="V29" s="9"/>
      <c r="Y29" s="3"/>
      <c r="Z29" s="3"/>
      <c r="AA29" s="3"/>
      <c r="AB29" s="3"/>
      <c r="AC29" s="3"/>
      <c r="AD29" s="3"/>
      <c r="AE29" s="3"/>
      <c r="AH29" s="39"/>
    </row>
    <row r="30" spans="1:34" ht="34.5" customHeight="1">
      <c r="A30" s="52"/>
      <c r="B30" s="65"/>
      <c r="C30" s="3"/>
      <c r="D30" s="3"/>
      <c r="E30" s="3"/>
      <c r="F30" s="3"/>
      <c r="G30" s="3"/>
      <c r="H30" s="3"/>
      <c r="I30" s="3"/>
      <c r="J30" s="3"/>
      <c r="R30" s="33"/>
      <c r="V30" s="9"/>
      <c r="Y30" s="3"/>
      <c r="Z30" s="3"/>
      <c r="AA30" s="3"/>
      <c r="AB30" s="3"/>
      <c r="AC30" s="3"/>
      <c r="AD30" s="3"/>
      <c r="AE30" s="3"/>
      <c r="AH30" s="39"/>
    </row>
    <row r="31" spans="1:34" ht="34.5" customHeight="1">
      <c r="A31" s="52"/>
      <c r="B31" s="65"/>
      <c r="C31" s="3"/>
      <c r="D31" s="3"/>
      <c r="E31" s="3"/>
      <c r="F31" s="3"/>
      <c r="G31" s="3"/>
      <c r="H31" s="3"/>
      <c r="I31" s="3"/>
      <c r="J31" s="3"/>
      <c r="R31" s="33"/>
      <c r="V31" s="9"/>
      <c r="Y31" s="3"/>
      <c r="Z31" s="3"/>
      <c r="AA31" s="3"/>
      <c r="AB31" s="3"/>
      <c r="AC31" s="3"/>
      <c r="AD31" s="3"/>
      <c r="AE31" s="3"/>
      <c r="AH31" s="39"/>
    </row>
    <row r="32" spans="1:34" ht="6" customHeight="1">
      <c r="A32" s="65"/>
      <c r="B32" s="765"/>
      <c r="C32" s="224"/>
      <c r="D32" s="8"/>
      <c r="E32" s="4"/>
      <c r="F32" s="4"/>
      <c r="G32" s="225"/>
      <c r="H32" s="225"/>
      <c r="I32" s="8"/>
      <c r="L32" s="4"/>
      <c r="M32" s="224"/>
      <c r="N32" s="224"/>
      <c r="O32" s="4"/>
      <c r="R32" s="33"/>
    </row>
    <row r="33" spans="1:19" ht="18" customHeight="1">
      <c r="A33" s="71" t="s">
        <v>104</v>
      </c>
      <c r="B33" s="1397" t="s">
        <v>1141</v>
      </c>
      <c r="C33" s="1397"/>
      <c r="D33" s="1397"/>
      <c r="E33" s="1397"/>
      <c r="F33" s="1397"/>
      <c r="G33" s="1397"/>
      <c r="H33" s="1397"/>
      <c r="I33" s="1397"/>
      <c r="J33" s="1397"/>
      <c r="K33" s="1397"/>
      <c r="L33" s="1397"/>
      <c r="M33" s="1397"/>
      <c r="N33" s="1397"/>
      <c r="O33" s="1397"/>
      <c r="P33" s="1397"/>
      <c r="Q33" s="1397"/>
      <c r="R33" s="1398"/>
    </row>
    <row r="34" spans="1:19" ht="18" customHeight="1">
      <c r="A34" s="52"/>
      <c r="B34" s="1397"/>
      <c r="C34" s="1397"/>
      <c r="D34" s="1397"/>
      <c r="E34" s="1397"/>
      <c r="F34" s="1397"/>
      <c r="G34" s="1397"/>
      <c r="H34" s="1397"/>
      <c r="I34" s="1397"/>
      <c r="J34" s="1397"/>
      <c r="K34" s="1397"/>
      <c r="L34" s="1397"/>
      <c r="M34" s="1397"/>
      <c r="N34" s="1397"/>
      <c r="O34" s="1397"/>
      <c r="P34" s="1397"/>
      <c r="Q34" s="1397"/>
      <c r="R34" s="1398"/>
    </row>
    <row r="35" spans="1:19" ht="6" customHeight="1">
      <c r="A35" s="65"/>
      <c r="B35" s="224"/>
      <c r="C35" s="224"/>
      <c r="D35" s="8"/>
      <c r="E35" s="4"/>
      <c r="F35" s="4"/>
      <c r="G35" s="225"/>
      <c r="H35" s="225"/>
      <c r="I35" s="8"/>
      <c r="L35" s="4"/>
      <c r="M35" s="224"/>
      <c r="N35" s="224"/>
      <c r="O35" s="4"/>
      <c r="R35" s="33"/>
    </row>
    <row r="36" spans="1:19" ht="19.899999999999999" customHeight="1">
      <c r="A36" s="52"/>
      <c r="B36" s="998" t="str">
        <f>M25</f>
        <v xml:space="preserve"> </v>
      </c>
      <c r="C36" s="999"/>
      <c r="D36" s="8" t="s">
        <v>1143</v>
      </c>
      <c r="E36" s="8"/>
      <c r="F36" s="8"/>
      <c r="G36" s="998" t="str">
        <f>IF(ISBLANK(J9)," ",J9)</f>
        <v xml:space="preserve"> </v>
      </c>
      <c r="H36" s="999"/>
      <c r="I36" s="8" t="s">
        <v>1144</v>
      </c>
      <c r="L36" s="4"/>
      <c r="M36" s="998" t="str">
        <f>IF(ISERROR(B36*G36)," ",B36*G36)</f>
        <v xml:space="preserve"> </v>
      </c>
      <c r="N36" s="999"/>
      <c r="O36" s="8" t="s">
        <v>586</v>
      </c>
      <c r="R36" s="33"/>
    </row>
    <row r="37" spans="1:19" ht="6" customHeight="1">
      <c r="A37" s="52"/>
      <c r="B37" s="35"/>
      <c r="C37" s="35"/>
      <c r="D37" s="8"/>
      <c r="E37" s="6"/>
      <c r="F37" s="42"/>
      <c r="G37" s="42"/>
      <c r="H37" s="4"/>
      <c r="I37" s="4"/>
      <c r="J37" s="35"/>
      <c r="K37" s="35"/>
      <c r="L37" s="4"/>
      <c r="P37" s="100"/>
      <c r="Q37" s="100"/>
      <c r="R37" s="766"/>
      <c r="S37" s="18"/>
    </row>
    <row r="38" spans="1:19" ht="18" customHeight="1">
      <c r="A38" s="71" t="s">
        <v>108</v>
      </c>
      <c r="B38" s="3" t="s">
        <v>95</v>
      </c>
      <c r="D38" s="3"/>
      <c r="E38" s="3"/>
      <c r="F38" s="3"/>
      <c r="G38" s="3"/>
      <c r="J38" s="224"/>
      <c r="K38" s="224"/>
      <c r="M38" s="224"/>
      <c r="R38" s="33"/>
    </row>
    <row r="39" spans="1:19" ht="6" customHeight="1">
      <c r="A39" s="65"/>
      <c r="B39" s="3"/>
      <c r="C39" s="35"/>
      <c r="D39" s="35"/>
      <c r="E39" s="4"/>
      <c r="F39" s="4"/>
      <c r="G39" s="4"/>
      <c r="H39" s="37"/>
      <c r="I39" s="37"/>
      <c r="K39" s="4"/>
      <c r="L39" s="4"/>
      <c r="R39" s="33"/>
    </row>
    <row r="40" spans="1:19" ht="19.899999999999999" customHeight="1">
      <c r="A40" s="71" t="s">
        <v>110</v>
      </c>
      <c r="B40" s="5" t="s">
        <v>866</v>
      </c>
      <c r="I40" s="1202"/>
      <c r="J40" s="1203"/>
      <c r="K40" s="8" t="s">
        <v>99</v>
      </c>
      <c r="L40" s="1401"/>
      <c r="M40" s="1402"/>
      <c r="N40" s="1402"/>
      <c r="O40" s="1402"/>
      <c r="P40" s="1402"/>
      <c r="R40" s="33"/>
    </row>
    <row r="41" spans="1:19" ht="6" customHeight="1">
      <c r="A41" s="471"/>
      <c r="B41" s="472"/>
      <c r="C41" s="30"/>
      <c r="D41" s="107"/>
      <c r="E41" s="107"/>
      <c r="F41" s="107"/>
      <c r="G41" s="1389"/>
      <c r="H41" s="1389"/>
      <c r="I41" s="107"/>
      <c r="J41" s="30"/>
      <c r="K41" s="30"/>
      <c r="L41" s="1403"/>
      <c r="M41" s="1403"/>
      <c r="N41" s="1403"/>
      <c r="O41" s="1403"/>
      <c r="P41" s="1403"/>
      <c r="Q41" s="30"/>
      <c r="R41" s="31"/>
    </row>
    <row r="42" spans="1:19" ht="18" customHeight="1">
      <c r="A42" s="260" t="s">
        <v>115</v>
      </c>
      <c r="B42" s="57" t="s">
        <v>840</v>
      </c>
      <c r="C42" s="50"/>
      <c r="D42" s="121"/>
      <c r="E42" s="121"/>
      <c r="F42" s="121"/>
      <c r="G42" s="121"/>
      <c r="H42" s="121"/>
      <c r="I42" s="121"/>
      <c r="J42" s="121"/>
      <c r="K42" s="50"/>
      <c r="L42" s="50"/>
      <c r="M42" s="50"/>
      <c r="N42" s="50"/>
      <c r="O42" s="50"/>
      <c r="P42" s="50"/>
      <c r="Q42" s="50"/>
      <c r="R42" s="80"/>
    </row>
    <row r="43" spans="1:19" ht="18" customHeight="1">
      <c r="A43" s="52"/>
      <c r="B43" s="137" t="s">
        <v>603</v>
      </c>
      <c r="C43" s="35"/>
      <c r="D43" s="8"/>
      <c r="E43" s="6"/>
      <c r="F43" s="42"/>
      <c r="G43" s="42"/>
      <c r="H43" s="4"/>
      <c r="I43" s="4"/>
      <c r="J43" s="35"/>
      <c r="K43" s="35"/>
      <c r="L43" s="4"/>
      <c r="P43" s="100"/>
      <c r="Q43" s="100"/>
      <c r="R43" s="766"/>
      <c r="S43" s="18"/>
    </row>
    <row r="44" spans="1:19" ht="18" customHeight="1">
      <c r="A44" s="56" t="s">
        <v>839</v>
      </c>
      <c r="B44" s="40" t="s">
        <v>496</v>
      </c>
      <c r="D44" s="3"/>
      <c r="E44" s="3"/>
      <c r="F44" s="3"/>
      <c r="G44" s="3"/>
      <c r="H44" s="3"/>
      <c r="I44" s="3"/>
      <c r="J44" s="3"/>
      <c r="P44" s="1390"/>
      <c r="Q44" s="1390"/>
      <c r="R44" s="1391"/>
    </row>
    <row r="45" spans="1:19" ht="6" customHeight="1">
      <c r="A45" s="52"/>
      <c r="B45" s="3"/>
      <c r="C45" s="3"/>
      <c r="D45" s="3"/>
      <c r="E45" s="3"/>
      <c r="F45" s="3"/>
      <c r="G45" s="3"/>
      <c r="H45" s="3"/>
      <c r="I45" s="3"/>
      <c r="J45" s="3"/>
      <c r="P45" s="1390"/>
      <c r="Q45" s="1390"/>
      <c r="R45" s="1391"/>
    </row>
    <row r="46" spans="1:19" ht="19.899999999999999" customHeight="1">
      <c r="A46" s="52"/>
      <c r="B46" s="1395" t="str">
        <f>IF(ISBLANK(J4)," ",J4)</f>
        <v xml:space="preserve"> </v>
      </c>
      <c r="C46" s="1396"/>
      <c r="D46" s="8" t="s">
        <v>97</v>
      </c>
      <c r="E46" s="4" t="s">
        <v>106</v>
      </c>
      <c r="F46" s="961" t="str">
        <f>IF(ISBLANK(B16),"",B16)</f>
        <v/>
      </c>
      <c r="G46" s="962"/>
      <c r="H46" s="4" t="s">
        <v>97</v>
      </c>
      <c r="I46" s="4" t="s">
        <v>107</v>
      </c>
      <c r="J46" s="998" t="str">
        <f>IF(ISBLANK(J9)," ",(B46*F46))</f>
        <v xml:space="preserve"> </v>
      </c>
      <c r="K46" s="999"/>
      <c r="L46" s="8" t="s">
        <v>31</v>
      </c>
      <c r="P46" s="1390"/>
      <c r="Q46" s="1390"/>
      <c r="R46" s="1391"/>
      <c r="S46" s="18"/>
    </row>
    <row r="47" spans="1:19" ht="6" customHeight="1">
      <c r="A47" s="52"/>
      <c r="B47" s="35"/>
      <c r="C47" s="35"/>
      <c r="D47" s="8"/>
      <c r="E47" s="6"/>
      <c r="F47" s="42"/>
      <c r="G47" s="42"/>
      <c r="H47" s="4"/>
      <c r="I47" s="4"/>
      <c r="J47" s="35"/>
      <c r="K47" s="35"/>
      <c r="L47" s="4"/>
      <c r="P47" s="100"/>
      <c r="Q47" s="100"/>
      <c r="R47" s="766"/>
      <c r="S47" s="18"/>
    </row>
    <row r="48" spans="1:19" ht="18" customHeight="1">
      <c r="A48" s="56" t="s">
        <v>209</v>
      </c>
      <c r="B48" s="5" t="s">
        <v>1145</v>
      </c>
      <c r="D48" s="3"/>
      <c r="E48" s="3"/>
      <c r="F48" s="3"/>
      <c r="G48" s="3"/>
      <c r="H48" s="3"/>
      <c r="I48" s="3"/>
      <c r="J48" s="3"/>
      <c r="P48" s="6"/>
      <c r="Q48" s="6"/>
      <c r="R48" s="1400"/>
    </row>
    <row r="49" spans="1:19" ht="6" customHeight="1">
      <c r="A49" s="65"/>
      <c r="B49" s="3"/>
      <c r="C49" s="3"/>
      <c r="D49" s="3"/>
      <c r="E49" s="3"/>
      <c r="F49" s="3"/>
      <c r="G49" s="3"/>
      <c r="H49" s="3"/>
      <c r="I49" s="3"/>
      <c r="J49" s="3"/>
      <c r="P49" s="6"/>
      <c r="Q49" s="6"/>
      <c r="R49" s="1400"/>
    </row>
    <row r="50" spans="1:19" ht="19.899999999999999" customHeight="1">
      <c r="A50" s="65"/>
      <c r="B50" s="998" t="str">
        <f>J46</f>
        <v xml:space="preserve"> </v>
      </c>
      <c r="C50" s="999"/>
      <c r="D50" s="8" t="s">
        <v>31</v>
      </c>
      <c r="E50" s="9" t="s">
        <v>613</v>
      </c>
      <c r="F50" s="998" t="str">
        <f>M36</f>
        <v xml:space="preserve"> </v>
      </c>
      <c r="G50" s="999"/>
      <c r="H50" s="1141" t="s">
        <v>133</v>
      </c>
      <c r="I50" s="1141"/>
      <c r="J50" s="108" t="s">
        <v>107</v>
      </c>
      <c r="K50" s="967" t="str">
        <f>IF(ISERROR(B50/F50),"",B50/F50)</f>
        <v/>
      </c>
      <c r="L50" s="968"/>
      <c r="M50" s="8" t="s">
        <v>310</v>
      </c>
      <c r="P50" s="1139"/>
      <c r="Q50" s="1139"/>
      <c r="R50" s="767"/>
    </row>
    <row r="51" spans="1:19" ht="6" customHeight="1">
      <c r="A51" s="65"/>
      <c r="B51" s="3"/>
      <c r="C51" s="35"/>
      <c r="D51" s="35"/>
      <c r="E51" s="4"/>
      <c r="F51" s="4"/>
      <c r="G51" s="4"/>
      <c r="H51" s="37"/>
      <c r="I51" s="37"/>
      <c r="K51" s="4"/>
      <c r="L51" s="4"/>
      <c r="R51" s="33"/>
    </row>
    <row r="52" spans="1:19" ht="19.899999999999999" customHeight="1">
      <c r="A52" s="71" t="s">
        <v>116</v>
      </c>
      <c r="B52" s="3" t="s">
        <v>136</v>
      </c>
      <c r="C52" s="3"/>
      <c r="D52" s="3"/>
      <c r="E52" s="3"/>
      <c r="G52" s="1393"/>
      <c r="H52" s="1394"/>
      <c r="I52" s="3" t="s">
        <v>97</v>
      </c>
      <c r="P52" s="1139"/>
      <c r="Q52" s="1139"/>
      <c r="R52" s="767"/>
    </row>
    <row r="53" spans="1:19" ht="6" customHeight="1">
      <c r="A53" s="52"/>
      <c r="B53" s="3"/>
      <c r="C53" s="3"/>
      <c r="D53" s="3"/>
      <c r="E53" s="3"/>
      <c r="F53" s="3"/>
      <c r="G53" s="3"/>
      <c r="H53" s="3"/>
      <c r="L53" s="14"/>
      <c r="P53" s="1139"/>
      <c r="Q53" s="1139"/>
      <c r="R53" s="767"/>
    </row>
    <row r="54" spans="1:19" ht="19.899999999999999" customHeight="1">
      <c r="A54" s="71" t="s">
        <v>122</v>
      </c>
      <c r="B54" s="3" t="s">
        <v>860</v>
      </c>
      <c r="C54" s="3"/>
      <c r="D54" s="3"/>
      <c r="E54" s="3"/>
      <c r="F54" s="3"/>
      <c r="H54" s="3"/>
      <c r="L54" s="1087" t="str">
        <f>IF(ISBLANK(G52)," ",(19.65*0.6*N13^2*G52^0.5))</f>
        <v xml:space="preserve"> </v>
      </c>
      <c r="M54" s="1088"/>
      <c r="N54" s="8" t="s">
        <v>138</v>
      </c>
      <c r="Q54" s="6"/>
      <c r="R54" s="767"/>
    </row>
    <row r="55" spans="1:19" ht="6" customHeight="1">
      <c r="A55" s="52"/>
      <c r="B55" s="3"/>
      <c r="C55" s="3"/>
      <c r="D55" s="3"/>
      <c r="E55" s="3"/>
      <c r="F55" s="3"/>
      <c r="G55" s="3"/>
      <c r="H55" s="3"/>
      <c r="I55" s="3"/>
      <c r="J55" s="3"/>
      <c r="R55" s="33"/>
    </row>
    <row r="56" spans="1:19" ht="18" customHeight="1">
      <c r="A56" s="467" t="s">
        <v>130</v>
      </c>
      <c r="B56" s="1086" t="s">
        <v>1146</v>
      </c>
      <c r="C56" s="1086"/>
      <c r="D56" s="1086"/>
      <c r="E56" s="1086"/>
      <c r="F56" s="1086"/>
      <c r="G56" s="1086"/>
      <c r="H56" s="1086"/>
      <c r="I56" s="1086"/>
      <c r="J56" s="1086"/>
      <c r="K56" s="1086"/>
      <c r="L56" s="1086"/>
      <c r="M56" s="1086"/>
      <c r="N56" s="1086"/>
      <c r="O56" s="1086"/>
      <c r="P56" s="1086"/>
      <c r="Q56" s="1086"/>
      <c r="R56" s="1399"/>
    </row>
    <row r="57" spans="1:19" ht="6" customHeight="1">
      <c r="A57" s="32"/>
      <c r="B57" s="10"/>
      <c r="C57" s="10"/>
      <c r="D57" s="10"/>
      <c r="E57" s="10"/>
      <c r="F57" s="10"/>
      <c r="G57" s="10"/>
      <c r="H57" s="10"/>
      <c r="I57" s="10"/>
      <c r="J57" s="10"/>
      <c r="K57" s="10"/>
      <c r="L57" s="10"/>
      <c r="R57" s="33"/>
    </row>
    <row r="58" spans="1:19" ht="20.100000000000001" customHeight="1">
      <c r="A58" s="65"/>
      <c r="B58" s="998" t="str">
        <f>M36</f>
        <v xml:space="preserve"> </v>
      </c>
      <c r="C58" s="999"/>
      <c r="D58" s="8" t="s">
        <v>861</v>
      </c>
      <c r="E58" s="4"/>
      <c r="F58" s="1087" t="str">
        <f>L54</f>
        <v xml:space="preserve"> </v>
      </c>
      <c r="G58" s="1088"/>
      <c r="H58" s="8" t="s">
        <v>862</v>
      </c>
      <c r="L58" s="998" t="str">
        <f>IF(ISERROR(ROUNDUP((B58*F58),0))," ",ROUNDUP((B58*F58),0))</f>
        <v xml:space="preserve"> </v>
      </c>
      <c r="M58" s="999"/>
      <c r="N58" s="4" t="s">
        <v>141</v>
      </c>
      <c r="R58" s="33"/>
    </row>
    <row r="59" spans="1:19" ht="6" customHeight="1">
      <c r="A59" s="32"/>
      <c r="M59" s="37"/>
      <c r="R59" s="33"/>
    </row>
    <row r="60" spans="1:19" ht="19.899999999999999" customHeight="1">
      <c r="A60" s="71" t="s">
        <v>132</v>
      </c>
      <c r="B60" s="5" t="s">
        <v>859</v>
      </c>
      <c r="D60" s="3"/>
      <c r="E60" s="3"/>
      <c r="F60" s="3"/>
      <c r="L60" s="1063" t="str">
        <f>IF(ISBLANK(I40)," ",IF(I40=1,"0.045",IF(I40=1.25,"0.078",IF(I40=1.5,"0.110",IF(I40=2,"0.170",IF(I40=3,"0.380"))))))</f>
        <v xml:space="preserve"> </v>
      </c>
      <c r="M60" s="1064"/>
      <c r="N60" s="3" t="s">
        <v>559</v>
      </c>
      <c r="R60" s="33"/>
    </row>
    <row r="61" spans="1:19" ht="6" customHeight="1">
      <c r="A61" s="32"/>
      <c r="M61" s="37"/>
      <c r="R61" s="33"/>
    </row>
    <row r="62" spans="1:19" ht="18" customHeight="1">
      <c r="A62" s="105" t="s">
        <v>134</v>
      </c>
      <c r="B62" s="21" t="s">
        <v>105</v>
      </c>
      <c r="D62" s="10"/>
      <c r="E62" s="10"/>
      <c r="R62" s="33"/>
    </row>
    <row r="63" spans="1:19" ht="18" customHeight="1">
      <c r="A63" s="32"/>
      <c r="B63" s="1413" t="s">
        <v>1147</v>
      </c>
      <c r="C63" s="1413"/>
      <c r="D63" s="1413"/>
      <c r="E63" s="1413"/>
      <c r="F63" s="1413"/>
      <c r="G63" s="1413"/>
      <c r="H63" s="1413"/>
      <c r="I63" s="1413"/>
      <c r="J63" s="1413"/>
      <c r="K63" s="1413"/>
      <c r="L63" s="1413"/>
      <c r="M63" s="37"/>
      <c r="R63" s="33"/>
    </row>
    <row r="64" spans="1:19" ht="18" customHeight="1">
      <c r="A64" s="32"/>
      <c r="B64" s="1413"/>
      <c r="C64" s="1413"/>
      <c r="D64" s="1413"/>
      <c r="E64" s="1413"/>
      <c r="F64" s="1413"/>
      <c r="G64" s="1413"/>
      <c r="H64" s="1413"/>
      <c r="I64" s="1413"/>
      <c r="J64" s="1413"/>
      <c r="K64" s="1413"/>
      <c r="L64" s="1413"/>
      <c r="R64" s="33"/>
      <c r="S64" s="12"/>
    </row>
    <row r="65" spans="1:19" ht="6" customHeight="1">
      <c r="A65" s="32"/>
      <c r="R65" s="33"/>
      <c r="S65" s="12"/>
    </row>
    <row r="66" spans="1:19" ht="19.899999999999999" customHeight="1">
      <c r="A66" s="32"/>
      <c r="B66" s="961" t="str">
        <f>IF(ISBLANK(J9)," ",J9)</f>
        <v xml:space="preserve"> </v>
      </c>
      <c r="C66" s="962"/>
      <c r="D66" s="4" t="s">
        <v>106</v>
      </c>
      <c r="E66" s="961" t="str">
        <f>G16</f>
        <v xml:space="preserve"> </v>
      </c>
      <c r="F66" s="962"/>
      <c r="G66" s="4" t="s">
        <v>128</v>
      </c>
      <c r="H66" s="1063" t="str">
        <f>IF(ISBLANK(L60)," ",L60)</f>
        <v xml:space="preserve"> </v>
      </c>
      <c r="I66" s="1064"/>
      <c r="J66" s="8" t="s">
        <v>1148</v>
      </c>
      <c r="L66" s="967" t="str">
        <f>IF(ISBLANK(J9)," ",((B66*E66*H66)))</f>
        <v xml:space="preserve"> </v>
      </c>
      <c r="M66" s="1414"/>
      <c r="N66" s="3" t="s">
        <v>101</v>
      </c>
      <c r="R66" s="33"/>
      <c r="S66" s="12"/>
    </row>
    <row r="67" spans="1:19" ht="6" customHeight="1">
      <c r="A67" s="32"/>
      <c r="R67" s="33"/>
      <c r="S67" s="12"/>
    </row>
    <row r="68" spans="1:19" ht="18" customHeight="1">
      <c r="A68" s="105" t="s">
        <v>137</v>
      </c>
      <c r="B68" s="1" t="s">
        <v>1149</v>
      </c>
      <c r="R68" s="33"/>
      <c r="S68" s="12"/>
    </row>
    <row r="69" spans="1:19" ht="6" customHeight="1">
      <c r="A69" s="32"/>
      <c r="R69" s="33"/>
      <c r="S69" s="12"/>
    </row>
    <row r="70" spans="1:19" ht="19.899999999999999" customHeight="1">
      <c r="A70" s="32"/>
      <c r="B70" s="967" t="str">
        <f>L66</f>
        <v xml:space="preserve"> </v>
      </c>
      <c r="C70" s="968"/>
      <c r="D70" s="1136" t="s">
        <v>732</v>
      </c>
      <c r="E70" s="1006"/>
      <c r="F70" s="1006"/>
      <c r="G70" s="967" t="str">
        <f>IF(ISBLANK(I40),"",B70*4)</f>
        <v/>
      </c>
      <c r="H70" s="1414"/>
      <c r="I70" s="3" t="s">
        <v>101</v>
      </c>
      <c r="R70" s="33"/>
      <c r="S70" s="12"/>
    </row>
    <row r="71" spans="1:19" ht="6" customHeight="1">
      <c r="A71" s="32"/>
      <c r="R71" s="33"/>
      <c r="S71" s="12"/>
    </row>
    <row r="72" spans="1:19" ht="31.5" customHeight="1">
      <c r="A72" s="32"/>
      <c r="B72" s="42"/>
      <c r="C72" s="42"/>
      <c r="D72" s="35"/>
      <c r="E72" s="42"/>
      <c r="F72" s="42"/>
      <c r="G72" s="35"/>
      <c r="H72" s="66"/>
      <c r="I72" s="66"/>
      <c r="J72" s="35"/>
      <c r="K72" s="37"/>
      <c r="L72" s="37"/>
      <c r="M72" s="3"/>
      <c r="R72" s="33"/>
    </row>
    <row r="73" spans="1:19" ht="31.5" customHeight="1">
      <c r="A73" s="32"/>
      <c r="B73" s="42"/>
      <c r="C73" s="42"/>
      <c r="D73" s="35"/>
      <c r="E73" s="42"/>
      <c r="F73" s="42"/>
      <c r="G73" s="35"/>
      <c r="H73" s="66"/>
      <c r="I73" s="66"/>
      <c r="J73" s="35"/>
      <c r="K73" s="37"/>
      <c r="L73" s="37"/>
      <c r="M73" s="3"/>
      <c r="R73" s="33"/>
    </row>
    <row r="74" spans="1:19" ht="31.5" customHeight="1">
      <c r="A74" s="32"/>
      <c r="B74" s="42"/>
      <c r="C74" s="42"/>
      <c r="D74" s="35"/>
      <c r="E74" s="42"/>
      <c r="F74" s="42"/>
      <c r="G74" s="35"/>
      <c r="H74" s="66"/>
      <c r="I74" s="66"/>
      <c r="J74" s="35"/>
      <c r="K74" s="37"/>
      <c r="L74" s="37"/>
      <c r="M74" s="3"/>
      <c r="R74" s="33"/>
    </row>
    <row r="75" spans="1:19" ht="31.5" customHeight="1">
      <c r="A75" s="32"/>
      <c r="B75" s="42"/>
      <c r="C75" s="42"/>
      <c r="D75" s="35"/>
      <c r="E75" s="42"/>
      <c r="F75" s="42"/>
      <c r="G75" s="35"/>
      <c r="H75" s="66"/>
      <c r="I75" s="66"/>
      <c r="J75" s="35"/>
      <c r="K75" s="37"/>
      <c r="L75" s="37"/>
      <c r="M75" s="3"/>
      <c r="R75" s="33"/>
    </row>
    <row r="76" spans="1:19" ht="31.5" customHeight="1">
      <c r="A76" s="32"/>
      <c r="B76" s="42"/>
      <c r="C76" s="42"/>
      <c r="D76" s="35"/>
      <c r="E76" s="42"/>
      <c r="F76" s="42"/>
      <c r="G76" s="35"/>
      <c r="H76" s="66"/>
      <c r="I76" s="66"/>
      <c r="J76" s="35"/>
      <c r="K76" s="37"/>
      <c r="L76" s="37"/>
      <c r="M76" s="3"/>
      <c r="R76" s="33"/>
    </row>
    <row r="77" spans="1:19" ht="6" customHeight="1">
      <c r="A77" s="29"/>
      <c r="B77" s="30"/>
      <c r="C77" s="30"/>
      <c r="D77" s="30"/>
      <c r="E77" s="30"/>
      <c r="F77" s="30"/>
      <c r="G77" s="30"/>
      <c r="H77" s="30"/>
      <c r="I77" s="30"/>
      <c r="J77" s="30"/>
      <c r="K77" s="30"/>
      <c r="L77" s="30"/>
      <c r="M77" s="30"/>
      <c r="N77" s="30"/>
      <c r="O77" s="30"/>
      <c r="P77" s="30"/>
      <c r="Q77" s="30"/>
      <c r="R77" s="31"/>
    </row>
    <row r="78" spans="1:19" ht="18" customHeight="1">
      <c r="A78" s="408" t="s">
        <v>297</v>
      </c>
      <c r="B78" s="409"/>
      <c r="C78" s="409"/>
      <c r="D78" s="409"/>
      <c r="E78" s="409"/>
      <c r="F78" s="409"/>
      <c r="G78" s="409"/>
      <c r="H78" s="409"/>
      <c r="I78" s="409"/>
      <c r="J78" s="409"/>
      <c r="K78" s="409"/>
      <c r="L78" s="409"/>
      <c r="M78" s="409"/>
      <c r="N78" s="409"/>
      <c r="O78" s="409"/>
      <c r="P78" s="409"/>
      <c r="Q78" s="409"/>
      <c r="R78" s="410"/>
    </row>
    <row r="79" spans="1:19">
      <c r="A79" s="1404"/>
      <c r="B79" s="1405"/>
      <c r="C79" s="1405"/>
      <c r="D79" s="1405"/>
      <c r="E79" s="1405"/>
      <c r="F79" s="1405"/>
      <c r="G79" s="1405"/>
      <c r="H79" s="1405"/>
      <c r="I79" s="1405"/>
      <c r="J79" s="1405"/>
      <c r="K79" s="1405"/>
      <c r="L79" s="1405"/>
      <c r="M79" s="1405"/>
      <c r="N79" s="1405"/>
      <c r="O79" s="1405"/>
      <c r="P79" s="1405"/>
      <c r="Q79" s="1405"/>
      <c r="R79" s="1406"/>
    </row>
    <row r="80" spans="1:19">
      <c r="A80" s="1407"/>
      <c r="B80" s="1408"/>
      <c r="C80" s="1408"/>
      <c r="D80" s="1408"/>
      <c r="E80" s="1408"/>
      <c r="F80" s="1408"/>
      <c r="G80" s="1408"/>
      <c r="H80" s="1408"/>
      <c r="I80" s="1408"/>
      <c r="J80" s="1408"/>
      <c r="K80" s="1408"/>
      <c r="L80" s="1408"/>
      <c r="M80" s="1408"/>
      <c r="N80" s="1408"/>
      <c r="O80" s="1408"/>
      <c r="P80" s="1408"/>
      <c r="Q80" s="1408"/>
      <c r="R80" s="1409"/>
    </row>
    <row r="81" spans="1:18">
      <c r="A81" s="1407"/>
      <c r="B81" s="1408"/>
      <c r="C81" s="1408"/>
      <c r="D81" s="1408"/>
      <c r="E81" s="1408"/>
      <c r="F81" s="1408"/>
      <c r="G81" s="1408"/>
      <c r="H81" s="1408"/>
      <c r="I81" s="1408"/>
      <c r="J81" s="1408"/>
      <c r="K81" s="1408"/>
      <c r="L81" s="1408"/>
      <c r="M81" s="1408"/>
      <c r="N81" s="1408"/>
      <c r="O81" s="1408"/>
      <c r="P81" s="1408"/>
      <c r="Q81" s="1408"/>
      <c r="R81" s="1409"/>
    </row>
    <row r="82" spans="1:18">
      <c r="A82" s="1407"/>
      <c r="B82" s="1408"/>
      <c r="C82" s="1408"/>
      <c r="D82" s="1408"/>
      <c r="E82" s="1408"/>
      <c r="F82" s="1408"/>
      <c r="G82" s="1408"/>
      <c r="H82" s="1408"/>
      <c r="I82" s="1408"/>
      <c r="J82" s="1408"/>
      <c r="K82" s="1408"/>
      <c r="L82" s="1408"/>
      <c r="M82" s="1408"/>
      <c r="N82" s="1408"/>
      <c r="O82" s="1408"/>
      <c r="P82" s="1408"/>
      <c r="Q82" s="1408"/>
      <c r="R82" s="1409"/>
    </row>
    <row r="83" spans="1:18">
      <c r="A83" s="1410"/>
      <c r="B83" s="1411"/>
      <c r="C83" s="1411"/>
      <c r="D83" s="1411"/>
      <c r="E83" s="1411"/>
      <c r="F83" s="1411"/>
      <c r="G83" s="1411"/>
      <c r="H83" s="1411"/>
      <c r="I83" s="1411"/>
      <c r="J83" s="1411"/>
      <c r="K83" s="1411"/>
      <c r="L83" s="1411"/>
      <c r="M83" s="1411"/>
      <c r="N83" s="1411"/>
      <c r="O83" s="1411"/>
      <c r="P83" s="1411"/>
      <c r="Q83" s="1411"/>
      <c r="R83" s="1412"/>
    </row>
    <row r="84" spans="1:18">
      <c r="A84" s="219"/>
      <c r="B84" s="219"/>
      <c r="C84" s="219"/>
      <c r="D84" s="219"/>
      <c r="E84" s="219"/>
      <c r="F84" s="219"/>
      <c r="G84" s="219"/>
      <c r="H84" s="219"/>
      <c r="I84" s="219"/>
      <c r="J84" s="219"/>
      <c r="K84" s="219"/>
      <c r="L84" s="219"/>
      <c r="M84" s="219"/>
      <c r="N84" s="219"/>
      <c r="O84" s="219"/>
      <c r="P84" s="219"/>
      <c r="Q84" s="219"/>
      <c r="R84" s="219"/>
    </row>
    <row r="85" spans="1:18">
      <c r="A85" s="219"/>
      <c r="B85" s="219"/>
      <c r="C85" s="219"/>
      <c r="D85" s="219"/>
      <c r="E85" s="219"/>
      <c r="F85" s="219"/>
      <c r="G85" s="219"/>
      <c r="H85" s="219"/>
      <c r="I85" s="219"/>
      <c r="J85" s="219"/>
      <c r="K85" s="219"/>
      <c r="L85" s="219"/>
      <c r="M85" s="219"/>
      <c r="N85" s="219"/>
      <c r="O85" s="219"/>
      <c r="P85" s="219"/>
      <c r="Q85" s="219"/>
      <c r="R85" s="219"/>
    </row>
    <row r="86" spans="1:18">
      <c r="A86" s="219"/>
      <c r="B86" s="219"/>
      <c r="C86" s="219"/>
      <c r="D86" s="219"/>
      <c r="E86" s="219"/>
      <c r="F86" s="219"/>
      <c r="G86" s="219"/>
      <c r="H86" s="219"/>
      <c r="I86" s="219"/>
      <c r="J86" s="219"/>
      <c r="K86" s="219"/>
      <c r="L86" s="219"/>
      <c r="M86" s="219"/>
      <c r="N86" s="219"/>
      <c r="O86" s="219"/>
      <c r="P86" s="219"/>
      <c r="Q86" s="219"/>
      <c r="R86" s="219"/>
    </row>
  </sheetData>
  <sheetProtection sheet="1" objects="1" scenarios="1"/>
  <customSheetViews>
    <customSheetView guid="{3320ADAB-1745-4CE0-B739-BF2E8269138B}" showGridLines="0" fitToPage="1" showRuler="0" topLeftCell="A4">
      <selection activeCell="J73" sqref="J73:K73"/>
      <pageMargins left="0.4" right="0.4" top="0.4" bottom="0.4" header="0.5" footer="0.5"/>
      <printOptions horizontalCentered="1"/>
      <pageSetup scale="59" orientation="portrait" r:id="rId1"/>
      <headerFooter alignWithMargins="0"/>
    </customSheetView>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2"/>
      <headerFooter alignWithMargins="0"/>
    </customSheetView>
  </customSheetViews>
  <mergeCells count="59">
    <mergeCell ref="R48:R49"/>
    <mergeCell ref="I40:J40"/>
    <mergeCell ref="L40:P41"/>
    <mergeCell ref="A79:R83"/>
    <mergeCell ref="D70:F70"/>
    <mergeCell ref="B63:L64"/>
    <mergeCell ref="B70:C70"/>
    <mergeCell ref="B66:C66"/>
    <mergeCell ref="G70:H70"/>
    <mergeCell ref="E66:F66"/>
    <mergeCell ref="H66:I66"/>
    <mergeCell ref="L66:M66"/>
    <mergeCell ref="L60:M60"/>
    <mergeCell ref="B50:C50"/>
    <mergeCell ref="B58:C58"/>
    <mergeCell ref="F50:G50"/>
    <mergeCell ref="F58:G58"/>
    <mergeCell ref="L58:M58"/>
    <mergeCell ref="B56:R56"/>
    <mergeCell ref="P50:Q50"/>
    <mergeCell ref="P52:Q52"/>
    <mergeCell ref="L54:M54"/>
    <mergeCell ref="P53:Q53"/>
    <mergeCell ref="G52:H52"/>
    <mergeCell ref="H50:I50"/>
    <mergeCell ref="K50:L50"/>
    <mergeCell ref="G41:H41"/>
    <mergeCell ref="P44:Q46"/>
    <mergeCell ref="F46:G46"/>
    <mergeCell ref="R44:R46"/>
    <mergeCell ref="D1:M1"/>
    <mergeCell ref="B18:R19"/>
    <mergeCell ref="B16:C16"/>
    <mergeCell ref="G16:H16"/>
    <mergeCell ref="J11:K11"/>
    <mergeCell ref="B36:C36"/>
    <mergeCell ref="B46:C46"/>
    <mergeCell ref="J46:K46"/>
    <mergeCell ref="B33:R34"/>
    <mergeCell ref="M36:N36"/>
    <mergeCell ref="G36:H36"/>
    <mergeCell ref="M25:N25"/>
    <mergeCell ref="E7:F7"/>
    <mergeCell ref="O21:P21"/>
    <mergeCell ref="K21:L21"/>
    <mergeCell ref="B26:R26"/>
    <mergeCell ref="G21:H21"/>
    <mergeCell ref="B23:R23"/>
    <mergeCell ref="H25:I25"/>
    <mergeCell ref="N7:R7"/>
    <mergeCell ref="B25:G25"/>
    <mergeCell ref="I2:J2"/>
    <mergeCell ref="K2:L2"/>
    <mergeCell ref="J9:K9"/>
    <mergeCell ref="J10:K10"/>
    <mergeCell ref="J13:K13"/>
    <mergeCell ref="J4:K4"/>
    <mergeCell ref="J7:K7"/>
    <mergeCell ref="G7:I7"/>
  </mergeCells>
  <phoneticPr fontId="17" type="noConversion"/>
  <dataValidations xWindow="432" yWindow="433" count="5">
    <dataValidation type="list" allowBlank="1" showInputMessage="1" showErrorMessage="1" sqref="I40:J40" xr:uid="{00000000-0002-0000-0A00-000000000000}">
      <formula1>PipeDia</formula1>
    </dataValidation>
    <dataValidation type="list" allowBlank="1" showInputMessage="1" showErrorMessage="1" prompt="1.0 for dwellings using 1/4&quot; or 3/16&quot; holes_x000a_2.0 for dwellings using 1/8&quot; holes or Other Establishments using 1/4&quot; or 3/16&quot; holes_x000a_5.0 for Other Establishments using 1/8&quot; holes" sqref="G52:H52" xr:uid="{00000000-0002-0000-0A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36 inches." sqref="J9:K9" xr:uid="{00000000-0002-0000-0A00-000002000000}"/>
    <dataValidation type="list" allowBlank="1" showInputMessage="1" showErrorMessage="1" prompt="Min 2.0 ft_x000a_Max 3.0 ft" sqref="J11:K11 J10:K10" xr:uid="{00000000-0002-0000-0A00-000003000000}">
      <formula1>PerfSpace</formula1>
    </dataValidation>
    <dataValidation type="list" allowBlank="1" showInputMessage="1" showErrorMessage="1" prompt="Min 1/8&quot;_x000a_Max 1/4&quot;" sqref="J13:K13" xr:uid="{00000000-0002-0000-0A00-000004000000}">
      <formula1>PerfDia</formula1>
    </dataValidation>
  </dataValidations>
  <printOptions horizontalCentered="1"/>
  <pageMargins left="0.4" right="0.4" top="0.4" bottom="0.4" header="0.5" footer="0.5"/>
  <pageSetup fitToHeight="2" orientation="portrait" blackAndWhite="1" r:id="rId3"/>
  <headerFooter alignWithMargins="0"/>
  <rowBreaks count="1" manualBreakCount="1">
    <brk id="4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158" r:id="rId6" name="Check Box 134">
              <controlPr defaultSize="0" autoFill="0" autoLine="0" autoPict="0">
                <anchor moveWithCells="1">
                  <from>
                    <xdr:col>9</xdr:col>
                    <xdr:colOff>200025</xdr:colOff>
                    <xdr:row>37</xdr:row>
                    <xdr:rowOff>19050</xdr:rowOff>
                  </from>
                  <to>
                    <xdr:col>11</xdr:col>
                    <xdr:colOff>276225</xdr:colOff>
                    <xdr:row>38</xdr:row>
                    <xdr:rowOff>9525</xdr:rowOff>
                  </to>
                </anchor>
              </controlPr>
            </control>
          </mc:Choice>
        </mc:AlternateContent>
        <mc:AlternateContent xmlns:mc="http://schemas.openxmlformats.org/markup-compatibility/2006">
          <mc:Choice Requires="x14">
            <control shapeId="1159" r:id="rId7" name="Check Box 135">
              <controlPr defaultSize="0" autoFill="0" autoLine="0" autoPict="0">
                <anchor moveWithCells="1">
                  <from>
                    <xdr:col>11</xdr:col>
                    <xdr:colOff>0</xdr:colOff>
                    <xdr:row>37</xdr:row>
                    <xdr:rowOff>19050</xdr:rowOff>
                  </from>
                  <to>
                    <xdr:col>13</xdr:col>
                    <xdr:colOff>76200</xdr:colOff>
                    <xdr:row>38</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FF6600"/>
  </sheetPr>
  <dimension ref="A1:AL196"/>
  <sheetViews>
    <sheetView showGridLines="0" showZeros="0" view="pageBreakPreview" zoomScaleNormal="100" zoomScaleSheetLayoutView="100" workbookViewId="0">
      <selection activeCell="M10" sqref="M10:N10"/>
    </sheetView>
  </sheetViews>
  <sheetFormatPr defaultColWidth="9.140625" defaultRowHeight="24" customHeight="1"/>
  <cols>
    <col min="1" max="20" width="6.140625" style="1" customWidth="1"/>
    <col min="21" max="21" width="9.140625" style="32"/>
    <col min="22" max="16384" width="9.140625" style="1"/>
  </cols>
  <sheetData>
    <row r="1" spans="1:38" s="58" customFormat="1" ht="63.75" customHeight="1">
      <c r="B1" s="216"/>
      <c r="C1" s="216"/>
      <c r="D1" s="1162" t="s">
        <v>1124</v>
      </c>
      <c r="E1" s="1162"/>
      <c r="F1" s="1162"/>
      <c r="G1" s="1162"/>
      <c r="H1" s="1162"/>
      <c r="I1" s="1162"/>
      <c r="J1" s="1162"/>
      <c r="K1" s="1162"/>
      <c r="L1" s="1162"/>
      <c r="M1" s="1162"/>
      <c r="N1" s="1162"/>
      <c r="O1" s="1162"/>
      <c r="P1" s="74"/>
      <c r="Q1" s="74"/>
      <c r="R1" s="74"/>
      <c r="S1" s="74"/>
    </row>
    <row r="2" spans="1:38" s="380" customFormat="1" ht="15.6" customHeight="1">
      <c r="A2" s="787"/>
      <c r="B2" s="788"/>
      <c r="C2" s="788"/>
      <c r="D2" s="788"/>
      <c r="E2" s="788"/>
      <c r="F2" s="788"/>
      <c r="G2" s="788"/>
      <c r="H2" s="788"/>
      <c r="I2" s="1374" t="s">
        <v>832</v>
      </c>
      <c r="J2" s="1374"/>
      <c r="K2" s="1375" t="str">
        <f>IF(ISBLANK('Design Summary'!Q3)," ",'Design Summary'!Q3)</f>
        <v xml:space="preserve"> </v>
      </c>
      <c r="L2" s="1375"/>
      <c r="M2" s="788"/>
      <c r="N2" s="788"/>
      <c r="O2" s="788"/>
      <c r="P2" s="788"/>
      <c r="Q2" s="788"/>
      <c r="R2" s="788"/>
      <c r="S2" s="790"/>
      <c r="T2" s="791" t="str">
        <f>'Drop-Down Lists'!J40</f>
        <v>v 04.20.2016</v>
      </c>
    </row>
    <row r="3" spans="1:38" s="58" customFormat="1" ht="6" customHeight="1">
      <c r="A3" s="102"/>
      <c r="B3" s="101"/>
      <c r="C3" s="101"/>
      <c r="D3" s="101"/>
      <c r="E3" s="101"/>
      <c r="F3" s="101"/>
      <c r="G3" s="101"/>
      <c r="H3" s="101"/>
      <c r="I3" s="101"/>
      <c r="J3" s="101"/>
      <c r="K3" s="101"/>
      <c r="L3" s="101"/>
      <c r="M3" s="101"/>
      <c r="N3" s="101"/>
      <c r="O3" s="101"/>
      <c r="P3" s="111"/>
      <c r="Q3" s="111"/>
      <c r="R3" s="111"/>
      <c r="S3" s="1462"/>
      <c r="T3" s="1463"/>
    </row>
    <row r="4" spans="1:38" ht="18" customHeight="1">
      <c r="A4" s="105" t="s">
        <v>93</v>
      </c>
      <c r="B4" s="1" t="s">
        <v>223</v>
      </c>
      <c r="S4" s="1464"/>
      <c r="T4" s="1465"/>
      <c r="U4" s="1"/>
    </row>
    <row r="5" spans="1:38" ht="6" customHeight="1">
      <c r="A5" s="112"/>
      <c r="T5" s="33"/>
      <c r="U5" s="1"/>
    </row>
    <row r="6" spans="1:38" ht="19.899999999999999" customHeight="1">
      <c r="A6" s="32"/>
      <c r="B6" s="1" t="s">
        <v>321</v>
      </c>
      <c r="D6" s="6" t="s">
        <v>206</v>
      </c>
      <c r="F6" s="1393"/>
      <c r="G6" s="1394"/>
      <c r="H6" s="1" t="s">
        <v>97</v>
      </c>
      <c r="I6" s="1419" t="s">
        <v>277</v>
      </c>
      <c r="J6" s="1420"/>
      <c r="K6" s="1420"/>
      <c r="L6" s="1421"/>
      <c r="M6" s="1060"/>
      <c r="N6" s="1062"/>
      <c r="O6" s="1" t="s">
        <v>97</v>
      </c>
      <c r="P6" s="1" t="s">
        <v>287</v>
      </c>
      <c r="T6" s="33"/>
      <c r="U6" s="1"/>
      <c r="AI6" s="37"/>
      <c r="AL6" s="64"/>
    </row>
    <row r="7" spans="1:38" ht="6" customHeight="1">
      <c r="A7" s="32"/>
      <c r="F7" s="147"/>
      <c r="G7" s="147"/>
      <c r="H7" s="148"/>
      <c r="M7" s="47"/>
      <c r="N7" s="47"/>
      <c r="T7" s="33"/>
      <c r="U7" s="1"/>
      <c r="AI7" s="37"/>
      <c r="AL7" s="73"/>
    </row>
    <row r="8" spans="1:38" ht="19.899999999999999" customHeight="1">
      <c r="A8" s="32"/>
      <c r="B8" s="1" t="s">
        <v>322</v>
      </c>
      <c r="D8" s="6" t="s">
        <v>206</v>
      </c>
      <c r="F8" s="1393"/>
      <c r="G8" s="1394"/>
      <c r="H8" s="1" t="s">
        <v>97</v>
      </c>
      <c r="J8" s="1" t="s">
        <v>207</v>
      </c>
      <c r="M8" s="1060"/>
      <c r="N8" s="1062"/>
      <c r="O8" s="1" t="s">
        <v>97</v>
      </c>
      <c r="T8" s="33"/>
      <c r="U8" s="1"/>
      <c r="AI8" s="37"/>
      <c r="AL8" s="110"/>
    </row>
    <row r="9" spans="1:38" ht="6" customHeight="1">
      <c r="A9" s="32"/>
      <c r="F9" s="147"/>
      <c r="G9" s="147"/>
      <c r="H9" s="148"/>
      <c r="M9" s="47"/>
      <c r="N9" s="47"/>
      <c r="T9" s="33"/>
      <c r="U9" s="1"/>
      <c r="AI9" s="37"/>
      <c r="AL9" s="63"/>
    </row>
    <row r="10" spans="1:38" ht="19.899999999999999" customHeight="1">
      <c r="A10" s="32"/>
      <c r="B10" s="1" t="s">
        <v>323</v>
      </c>
      <c r="D10" s="6" t="s">
        <v>206</v>
      </c>
      <c r="F10" s="1393"/>
      <c r="G10" s="1394"/>
      <c r="H10" s="1" t="s">
        <v>97</v>
      </c>
      <c r="J10" s="1" t="s">
        <v>207</v>
      </c>
      <c r="M10" s="1060"/>
      <c r="N10" s="1062"/>
      <c r="O10" s="1" t="s">
        <v>97</v>
      </c>
      <c r="T10" s="33"/>
      <c r="U10" s="1"/>
      <c r="AI10" s="37"/>
    </row>
    <row r="11" spans="1:38" ht="6" customHeight="1">
      <c r="A11" s="32"/>
      <c r="F11" s="147"/>
      <c r="G11" s="147"/>
      <c r="H11" s="148"/>
      <c r="M11" s="47"/>
      <c r="N11" s="47"/>
      <c r="T11" s="33"/>
      <c r="U11" s="1"/>
    </row>
    <row r="12" spans="1:38" ht="19.899999999999999" customHeight="1">
      <c r="A12" s="32"/>
      <c r="B12" s="1" t="s">
        <v>324</v>
      </c>
      <c r="D12" s="6" t="s">
        <v>206</v>
      </c>
      <c r="F12" s="1393"/>
      <c r="G12" s="1394"/>
      <c r="H12" s="1" t="s">
        <v>97</v>
      </c>
      <c r="J12" s="1" t="s">
        <v>207</v>
      </c>
      <c r="M12" s="1060"/>
      <c r="N12" s="1062"/>
      <c r="O12" s="1" t="s">
        <v>97</v>
      </c>
      <c r="T12" s="33"/>
      <c r="U12" s="1"/>
    </row>
    <row r="13" spans="1:38" ht="6" customHeight="1">
      <c r="A13" s="32"/>
      <c r="F13" s="147"/>
      <c r="G13" s="147"/>
      <c r="H13" s="148"/>
      <c r="M13" s="47"/>
      <c r="N13" s="47"/>
      <c r="T13" s="33"/>
      <c r="U13" s="1"/>
    </row>
    <row r="14" spans="1:38" ht="19.899999999999999" customHeight="1">
      <c r="A14" s="32"/>
      <c r="B14" s="1" t="s">
        <v>325</v>
      </c>
      <c r="D14" s="6" t="s">
        <v>206</v>
      </c>
      <c r="F14" s="1393"/>
      <c r="G14" s="1394"/>
      <c r="H14" s="1" t="s">
        <v>97</v>
      </c>
      <c r="J14" s="1" t="s">
        <v>207</v>
      </c>
      <c r="M14" s="1060"/>
      <c r="N14" s="1062"/>
      <c r="O14" s="1" t="s">
        <v>97</v>
      </c>
      <c r="T14" s="33"/>
      <c r="U14" s="1"/>
    </row>
    <row r="15" spans="1:38" ht="6" customHeight="1">
      <c r="A15" s="32"/>
      <c r="F15" s="147"/>
      <c r="G15" s="147"/>
      <c r="H15" s="148"/>
      <c r="M15" s="47"/>
      <c r="N15" s="47"/>
      <c r="T15" s="33"/>
      <c r="U15" s="1"/>
    </row>
    <row r="16" spans="1:38" ht="19.899999999999999" customHeight="1">
      <c r="A16" s="32"/>
      <c r="B16" s="1" t="s">
        <v>686</v>
      </c>
      <c r="D16" s="6" t="s">
        <v>206</v>
      </c>
      <c r="F16" s="1393"/>
      <c r="G16" s="1394"/>
      <c r="H16" s="1" t="s">
        <v>97</v>
      </c>
      <c r="J16" s="1" t="s">
        <v>207</v>
      </c>
      <c r="M16" s="1060"/>
      <c r="N16" s="1062"/>
      <c r="O16" s="1" t="s">
        <v>97</v>
      </c>
      <c r="P16" s="1" t="s">
        <v>288</v>
      </c>
      <c r="T16" s="33"/>
      <c r="U16" s="1"/>
    </row>
    <row r="17" spans="1:21" ht="6" customHeight="1">
      <c r="A17" s="32"/>
      <c r="T17" s="33"/>
      <c r="U17" s="1"/>
    </row>
    <row r="18" spans="1:21" ht="18" customHeight="1">
      <c r="A18" s="105" t="s">
        <v>94</v>
      </c>
      <c r="B18" s="3" t="s">
        <v>165</v>
      </c>
      <c r="T18" s="33"/>
      <c r="U18" s="1"/>
    </row>
    <row r="19" spans="1:21" ht="19.899999999999999" customHeight="1">
      <c r="A19" s="32"/>
      <c r="B19" s="59" t="s">
        <v>326</v>
      </c>
      <c r="L19" s="967" t="str">
        <f>IF(ISBLANK(F6)," ",F6)</f>
        <v xml:space="preserve"> </v>
      </c>
      <c r="M19" s="968"/>
      <c r="N19" s="20" t="s">
        <v>545</v>
      </c>
      <c r="O19" s="967" t="str">
        <f>IF(ISBLANK(F8)," ",IF(ISBLANK(F10),F8,IF(ISBLANK(F12),F10,IF(ISBLANK(F14),F12,IF(ISBLANK(F16),F14,F16)))))</f>
        <v xml:space="preserve"> </v>
      </c>
      <c r="P19" s="968"/>
      <c r="Q19" s="20" t="s">
        <v>67</v>
      </c>
      <c r="R19" s="967" t="str">
        <f>IF(ISBLANK(F6)," ",L19-O19)</f>
        <v xml:space="preserve"> </v>
      </c>
      <c r="S19" s="968"/>
      <c r="T19" s="33" t="s">
        <v>97</v>
      </c>
      <c r="U19" s="1"/>
    </row>
    <row r="20" spans="1:21" ht="6" customHeight="1">
      <c r="A20" s="32"/>
      <c r="T20" s="33"/>
      <c r="U20" s="1"/>
    </row>
    <row r="21" spans="1:21" ht="19.899999999999999" customHeight="1">
      <c r="A21" s="71" t="s">
        <v>148</v>
      </c>
      <c r="B21" s="3" t="s">
        <v>136</v>
      </c>
      <c r="C21" s="3"/>
      <c r="D21" s="3"/>
      <c r="E21" s="3"/>
      <c r="G21" s="1393"/>
      <c r="H21" s="1394"/>
      <c r="I21" s="1" t="s">
        <v>97</v>
      </c>
      <c r="Q21" s="20"/>
      <c r="R21" s="20"/>
      <c r="S21" s="20"/>
      <c r="T21" s="113"/>
      <c r="U21" s="14"/>
    </row>
    <row r="22" spans="1:21" ht="18" customHeight="1">
      <c r="A22" s="32"/>
      <c r="B22" s="20" t="s">
        <v>772</v>
      </c>
      <c r="Q22" s="10"/>
      <c r="R22" s="10"/>
      <c r="S22" s="10"/>
      <c r="T22" s="103"/>
      <c r="U22" s="10"/>
    </row>
    <row r="23" spans="1:21" ht="18" customHeight="1">
      <c r="A23" s="32"/>
      <c r="B23" s="8" t="s">
        <v>773</v>
      </c>
      <c r="I23" s="8"/>
      <c r="Q23" s="10"/>
      <c r="R23" s="10"/>
      <c r="S23" s="10"/>
      <c r="T23" s="103"/>
      <c r="U23" s="10"/>
    </row>
    <row r="24" spans="1:21" ht="18" customHeight="1">
      <c r="A24" s="32"/>
      <c r="B24" s="1056" t="s">
        <v>327</v>
      </c>
      <c r="C24" s="1056"/>
      <c r="D24" s="1056"/>
      <c r="E24" s="1056"/>
      <c r="F24" s="1056"/>
      <c r="G24" s="1056"/>
      <c r="H24" s="1056"/>
      <c r="I24" s="1056"/>
      <c r="J24" s="1056"/>
      <c r="K24" s="1056"/>
      <c r="L24" s="1056"/>
      <c r="M24" s="1056"/>
      <c r="N24" s="1056"/>
      <c r="O24" s="1056"/>
      <c r="P24" s="1056"/>
      <c r="Q24" s="1056"/>
      <c r="R24" s="1056"/>
      <c r="S24" s="10"/>
      <c r="T24" s="103"/>
      <c r="U24" s="10"/>
    </row>
    <row r="25" spans="1:21" ht="18" customHeight="1">
      <c r="A25" s="32"/>
      <c r="B25" s="1056"/>
      <c r="C25" s="1056"/>
      <c r="D25" s="1056"/>
      <c r="E25" s="1056"/>
      <c r="F25" s="1056"/>
      <c r="G25" s="1056"/>
      <c r="H25" s="1056"/>
      <c r="I25" s="1056"/>
      <c r="J25" s="1056"/>
      <c r="K25" s="1056"/>
      <c r="L25" s="1056"/>
      <c r="M25" s="1056"/>
      <c r="N25" s="1056"/>
      <c r="O25" s="1056"/>
      <c r="P25" s="1056"/>
      <c r="Q25" s="1056"/>
      <c r="R25" s="1056"/>
      <c r="S25" s="10"/>
      <c r="T25" s="103"/>
      <c r="U25" s="10"/>
    </row>
    <row r="26" spans="1:21" ht="18" customHeight="1">
      <c r="A26" s="105" t="s">
        <v>149</v>
      </c>
      <c r="B26" s="1" t="s">
        <v>166</v>
      </c>
      <c r="P26" s="10"/>
      <c r="Q26" s="10"/>
      <c r="R26" s="10"/>
      <c r="S26" s="10"/>
      <c r="T26" s="103"/>
      <c r="U26" s="10"/>
    </row>
    <row r="27" spans="1:21" ht="6" customHeight="1">
      <c r="A27" s="32"/>
      <c r="T27" s="33"/>
      <c r="U27" s="1"/>
    </row>
    <row r="28" spans="1:21" ht="19.899999999999999" customHeight="1">
      <c r="A28" s="32"/>
      <c r="B28" s="967" t="str">
        <f>IF(ISBLANK(G21)," ",G21)</f>
        <v xml:space="preserve"> </v>
      </c>
      <c r="C28" s="999"/>
      <c r="D28" s="8" t="s">
        <v>608</v>
      </c>
      <c r="E28" s="967" t="str">
        <f>IF(ISBLANK(R19)," ",R19)</f>
        <v xml:space="preserve"> </v>
      </c>
      <c r="F28" s="968"/>
      <c r="G28" s="4" t="s">
        <v>546</v>
      </c>
      <c r="H28" s="967" t="str">
        <f>IF(ISBLANK(G21)," ",B28+E28)</f>
        <v xml:space="preserve"> </v>
      </c>
      <c r="I28" s="999"/>
      <c r="J28" s="1" t="s">
        <v>97</v>
      </c>
      <c r="T28" s="33"/>
      <c r="U28" s="1"/>
    </row>
    <row r="29" spans="1:21" ht="6" customHeight="1">
      <c r="A29" s="32"/>
      <c r="P29" s="10"/>
      <c r="Q29" s="10"/>
      <c r="R29" s="10"/>
      <c r="S29" s="10"/>
      <c r="T29" s="103"/>
      <c r="U29" s="1"/>
    </row>
    <row r="30" spans="1:21" ht="18" customHeight="1">
      <c r="A30" s="105" t="s">
        <v>96</v>
      </c>
      <c r="B30" s="1" t="s">
        <v>167</v>
      </c>
      <c r="P30" s="10"/>
      <c r="Q30" s="10"/>
      <c r="R30" s="10"/>
      <c r="S30" s="10"/>
      <c r="T30" s="103"/>
      <c r="U30" s="1"/>
    </row>
    <row r="31" spans="1:21" ht="18" customHeight="1">
      <c r="A31" s="112"/>
      <c r="B31" s="1" t="s">
        <v>208</v>
      </c>
      <c r="P31" s="10"/>
      <c r="Q31" s="10"/>
      <c r="R31" s="10"/>
      <c r="S31" s="10"/>
      <c r="T31" s="103"/>
      <c r="U31" s="1"/>
    </row>
    <row r="32" spans="1:21" ht="18" customHeight="1">
      <c r="A32" s="112"/>
      <c r="B32" s="1" t="s">
        <v>60</v>
      </c>
      <c r="P32" s="10"/>
      <c r="Q32" s="10"/>
      <c r="R32" s="10"/>
      <c r="S32" s="10"/>
      <c r="T32" s="103"/>
      <c r="U32" s="1"/>
    </row>
    <row r="33" spans="1:21" ht="6" customHeight="1">
      <c r="A33" s="112"/>
      <c r="P33" s="10"/>
      <c r="Q33" s="10"/>
      <c r="R33" s="10"/>
      <c r="S33" s="10"/>
      <c r="T33" s="103"/>
      <c r="U33" s="1"/>
    </row>
    <row r="34" spans="1:21" ht="29.45" customHeight="1">
      <c r="A34" s="112"/>
      <c r="C34" s="1058" t="s">
        <v>467</v>
      </c>
      <c r="D34" s="1058"/>
      <c r="E34" s="1058"/>
      <c r="F34" s="1058"/>
      <c r="G34" s="1086" t="s">
        <v>518</v>
      </c>
      <c r="H34" s="1086"/>
      <c r="J34" s="1086" t="s">
        <v>517</v>
      </c>
      <c r="K34" s="1086"/>
      <c r="M34" s="1141" t="s">
        <v>328</v>
      </c>
      <c r="N34" s="1141"/>
      <c r="O34" s="1141"/>
      <c r="P34" s="1141"/>
      <c r="Q34" s="10"/>
      <c r="R34" s="10"/>
      <c r="S34" s="10"/>
      <c r="T34" s="103"/>
      <c r="U34" s="1"/>
    </row>
    <row r="35" spans="1:21" ht="6" customHeight="1">
      <c r="A35" s="112"/>
      <c r="C35" s="23"/>
      <c r="D35" s="23"/>
      <c r="E35" s="23"/>
      <c r="F35" s="23"/>
      <c r="G35" s="223"/>
      <c r="H35" s="223"/>
      <c r="J35" s="39"/>
      <c r="K35" s="39"/>
      <c r="M35" s="4"/>
      <c r="N35" s="4"/>
      <c r="O35" s="4"/>
      <c r="P35" s="4"/>
      <c r="Q35" s="10"/>
      <c r="R35" s="10"/>
      <c r="S35" s="10"/>
      <c r="T35" s="103"/>
      <c r="U35" s="1"/>
    </row>
    <row r="36" spans="1:21" ht="19.899999999999999" customHeight="1">
      <c r="A36" s="32"/>
      <c r="B36" s="4" t="s">
        <v>158</v>
      </c>
      <c r="D36" s="967" t="str">
        <f>IF(ISBLANK(F6),"",G21)</f>
        <v/>
      </c>
      <c r="E36" s="968"/>
      <c r="F36" s="22" t="s">
        <v>547</v>
      </c>
      <c r="G36" s="967" t="str">
        <f>IF(ISBLANK(F6),"",F6)</f>
        <v/>
      </c>
      <c r="H36" s="968"/>
      <c r="I36" s="39" t="s">
        <v>548</v>
      </c>
      <c r="J36" s="967" t="str">
        <f>IF(ISBLANK(F6),"",F6)</f>
        <v/>
      </c>
      <c r="K36" s="968"/>
      <c r="L36" s="10" t="s">
        <v>549</v>
      </c>
      <c r="N36" s="1422" t="str">
        <f>IF(ISBLANK(G21)," ",G21)</f>
        <v xml:space="preserve"> </v>
      </c>
      <c r="O36" s="1423"/>
      <c r="P36" s="1" t="s">
        <v>97</v>
      </c>
      <c r="T36" s="125"/>
      <c r="U36" s="1"/>
    </row>
    <row r="37" spans="1:21" ht="6" customHeight="1">
      <c r="A37" s="32"/>
      <c r="B37" s="4"/>
      <c r="C37" s="4"/>
      <c r="D37" s="43"/>
      <c r="I37" s="14" t="s">
        <v>221</v>
      </c>
      <c r="J37" s="14"/>
      <c r="K37" s="14"/>
      <c r="L37" s="14"/>
      <c r="N37" s="61"/>
      <c r="T37" s="125"/>
      <c r="U37" s="1"/>
    </row>
    <row r="38" spans="1:21" ht="19.899999999999999" customHeight="1">
      <c r="A38" s="32"/>
      <c r="B38" s="4" t="s">
        <v>159</v>
      </c>
      <c r="C38" s="4"/>
      <c r="D38" s="967" t="str">
        <f>IF(ISBLANK(F8),"",G21)</f>
        <v/>
      </c>
      <c r="E38" s="968"/>
      <c r="F38" s="22" t="s">
        <v>547</v>
      </c>
      <c r="G38" s="1422" t="str">
        <f>IF(ISBLANK(F6)," ",F6)</f>
        <v xml:space="preserve"> </v>
      </c>
      <c r="H38" s="1423"/>
      <c r="I38" s="39" t="s">
        <v>548</v>
      </c>
      <c r="J38" s="1422" t="str">
        <f>IF(ISBLANK(F8)," ",F8)</f>
        <v xml:space="preserve"> </v>
      </c>
      <c r="K38" s="1423"/>
      <c r="L38" s="10" t="s">
        <v>549</v>
      </c>
      <c r="N38" s="967" t="str">
        <f>IF(ISBLANK(F6)," ",G21+(F6-F8))</f>
        <v xml:space="preserve"> </v>
      </c>
      <c r="O38" s="968"/>
      <c r="P38" s="1" t="s">
        <v>97</v>
      </c>
      <c r="T38" s="125"/>
      <c r="U38" s="1"/>
    </row>
    <row r="39" spans="1:21" ht="6" customHeight="1">
      <c r="A39" s="32"/>
      <c r="B39" s="4"/>
      <c r="C39" s="4"/>
      <c r="D39" s="43"/>
      <c r="E39" s="42"/>
      <c r="F39" s="114"/>
      <c r="G39" s="61"/>
      <c r="H39" s="61"/>
      <c r="I39" s="39"/>
      <c r="J39" s="61"/>
      <c r="K39" s="61"/>
      <c r="L39" s="10"/>
      <c r="N39" s="43"/>
      <c r="T39" s="125"/>
      <c r="U39" s="1"/>
    </row>
    <row r="40" spans="1:21" ht="19.899999999999999" customHeight="1">
      <c r="A40" s="32"/>
      <c r="B40" s="4" t="s">
        <v>160</v>
      </c>
      <c r="C40" s="4"/>
      <c r="D40" s="967" t="str">
        <f>IF(ISBLANK(F10),"",G21)</f>
        <v/>
      </c>
      <c r="E40" s="968"/>
      <c r="F40" s="22" t="s">
        <v>547</v>
      </c>
      <c r="G40" s="1422" t="str">
        <f>IF(ISBLANK(F10)," ",F6)</f>
        <v xml:space="preserve"> </v>
      </c>
      <c r="H40" s="1423"/>
      <c r="I40" s="39" t="s">
        <v>548</v>
      </c>
      <c r="J40" s="1422" t="str">
        <f>IF(ISBLANK(F10)," ",F10)</f>
        <v xml:space="preserve"> </v>
      </c>
      <c r="K40" s="1423"/>
      <c r="L40" s="10" t="s">
        <v>549</v>
      </c>
      <c r="N40" s="967" t="str">
        <f>IF(ISBLANK(F10)," ",(G21+(F6-F10)))</f>
        <v xml:space="preserve"> </v>
      </c>
      <c r="O40" s="968"/>
      <c r="P40" s="1" t="s">
        <v>97</v>
      </c>
      <c r="T40" s="125"/>
      <c r="U40" s="1"/>
    </row>
    <row r="41" spans="1:21" ht="6" customHeight="1">
      <c r="A41" s="32"/>
      <c r="B41" s="4"/>
      <c r="C41" s="4"/>
      <c r="D41" s="43"/>
      <c r="E41" s="42"/>
      <c r="F41" s="114"/>
      <c r="G41" s="61"/>
      <c r="H41" s="61"/>
      <c r="I41" s="4"/>
      <c r="J41" s="61"/>
      <c r="K41" s="61"/>
      <c r="L41" s="10"/>
      <c r="N41" s="43"/>
      <c r="T41" s="125"/>
      <c r="U41" s="1"/>
    </row>
    <row r="42" spans="1:21" ht="19.899999999999999" customHeight="1">
      <c r="A42" s="32"/>
      <c r="B42" s="4" t="s">
        <v>161</v>
      </c>
      <c r="C42" s="4"/>
      <c r="D42" s="967" t="str">
        <f>IF(ISBLANK(F12),"",G21)</f>
        <v/>
      </c>
      <c r="E42" s="968"/>
      <c r="F42" s="22" t="s">
        <v>547</v>
      </c>
      <c r="G42" s="1422" t="str">
        <f>IF(ISBLANK(F12)," ",F6)</f>
        <v xml:space="preserve"> </v>
      </c>
      <c r="H42" s="1423"/>
      <c r="I42" s="39" t="s">
        <v>548</v>
      </c>
      <c r="J42" s="1422" t="str">
        <f>IF(ISBLANK(F12)," ",F12)</f>
        <v xml:space="preserve"> </v>
      </c>
      <c r="K42" s="1423"/>
      <c r="L42" s="10" t="s">
        <v>549</v>
      </c>
      <c r="N42" s="967" t="str">
        <f>IF(ISBLANK(F12)," ",(G21+(F6-F12)))</f>
        <v xml:space="preserve"> </v>
      </c>
      <c r="O42" s="968"/>
      <c r="P42" s="1" t="s">
        <v>97</v>
      </c>
      <c r="T42" s="125"/>
      <c r="U42" s="1"/>
    </row>
    <row r="43" spans="1:21" ht="6" customHeight="1">
      <c r="A43" s="32"/>
      <c r="B43" s="4"/>
      <c r="C43" s="4"/>
      <c r="D43" s="43"/>
      <c r="E43" s="42"/>
      <c r="F43" s="114"/>
      <c r="G43" s="61"/>
      <c r="H43" s="61"/>
      <c r="I43" s="4"/>
      <c r="J43" s="61"/>
      <c r="K43" s="61"/>
      <c r="L43" s="10"/>
      <c r="N43" s="43"/>
      <c r="T43" s="125"/>
      <c r="U43" s="1"/>
    </row>
    <row r="44" spans="1:21" ht="19.899999999999999" customHeight="1">
      <c r="A44" s="32"/>
      <c r="B44" s="4" t="s">
        <v>162</v>
      </c>
      <c r="C44" s="4"/>
      <c r="D44" s="967" t="str">
        <f>IF(ISBLANK(F14),"",G21)</f>
        <v/>
      </c>
      <c r="E44" s="968"/>
      <c r="F44" s="22" t="s">
        <v>547</v>
      </c>
      <c r="G44" s="1422" t="str">
        <f>IF(ISBLANK(F14)," ",F6)</f>
        <v xml:space="preserve"> </v>
      </c>
      <c r="H44" s="1423"/>
      <c r="I44" s="39" t="s">
        <v>548</v>
      </c>
      <c r="J44" s="1422" t="str">
        <f>IF(ISBLANK(F14)," ",F14)</f>
        <v xml:space="preserve"> </v>
      </c>
      <c r="K44" s="1423"/>
      <c r="L44" s="10" t="s">
        <v>549</v>
      </c>
      <c r="N44" s="967" t="str">
        <f>IF(ISBLANK(F14)," ",(G21+(F6-F14)))</f>
        <v xml:space="preserve"> </v>
      </c>
      <c r="O44" s="968"/>
      <c r="P44" s="1" t="s">
        <v>97</v>
      </c>
      <c r="T44" s="125"/>
      <c r="U44" s="1"/>
    </row>
    <row r="45" spans="1:21" ht="6" customHeight="1">
      <c r="A45" s="112"/>
      <c r="C45" s="23"/>
      <c r="D45" s="23"/>
      <c r="E45" s="23"/>
      <c r="F45" s="23"/>
      <c r="G45" s="223"/>
      <c r="H45" s="223"/>
      <c r="J45" s="39"/>
      <c r="K45" s="39"/>
      <c r="M45" s="4"/>
      <c r="N45" s="4"/>
      <c r="O45" s="4"/>
      <c r="P45" s="4"/>
      <c r="Q45" s="10"/>
      <c r="R45" s="10"/>
      <c r="S45" s="10"/>
      <c r="T45" s="103"/>
      <c r="U45" s="1"/>
    </row>
    <row r="46" spans="1:21" ht="19.899999999999999" customHeight="1">
      <c r="A46" s="32"/>
      <c r="B46" s="4" t="s">
        <v>687</v>
      </c>
      <c r="C46" s="4"/>
      <c r="D46" s="967" t="str">
        <f>IF(ISBLANK(F16),"",G21)</f>
        <v/>
      </c>
      <c r="E46" s="968"/>
      <c r="F46" s="22" t="s">
        <v>547</v>
      </c>
      <c r="G46" s="1422" t="str">
        <f>IF(ISBLANK(F16)," ",F6)</f>
        <v xml:space="preserve"> </v>
      </c>
      <c r="H46" s="1423"/>
      <c r="I46" s="39" t="s">
        <v>548</v>
      </c>
      <c r="J46" s="1422" t="str">
        <f>IF(ISBLANK(F16)," ",F16)</f>
        <v xml:space="preserve"> </v>
      </c>
      <c r="K46" s="1423"/>
      <c r="L46" s="10" t="s">
        <v>549</v>
      </c>
      <c r="N46" s="967" t="str">
        <f>IF(ISBLANK(F16)," ",(G21+(F6-F16)))</f>
        <v xml:space="preserve"> </v>
      </c>
      <c r="O46" s="968"/>
      <c r="P46" s="1" t="s">
        <v>97</v>
      </c>
      <c r="T46" s="125"/>
      <c r="U46" s="1"/>
    </row>
    <row r="47" spans="1:21" ht="6" customHeight="1">
      <c r="A47" s="29"/>
      <c r="B47" s="51"/>
      <c r="C47" s="107"/>
      <c r="D47" s="107"/>
      <c r="E47" s="107"/>
      <c r="F47" s="107"/>
      <c r="G47" s="131"/>
      <c r="H47" s="131"/>
      <c r="I47" s="51"/>
      <c r="J47" s="106"/>
      <c r="K47" s="51"/>
      <c r="L47" s="53"/>
      <c r="M47" s="53"/>
      <c r="N47" s="106"/>
      <c r="O47" s="150"/>
      <c r="P47" s="151"/>
      <c r="Q47" s="53"/>
      <c r="R47" s="151"/>
      <c r="S47" s="152"/>
      <c r="T47" s="153"/>
      <c r="U47" s="1"/>
    </row>
    <row r="48" spans="1:21" ht="18" customHeight="1">
      <c r="A48" s="105" t="s">
        <v>98</v>
      </c>
      <c r="B48" s="1" t="s">
        <v>168</v>
      </c>
      <c r="C48" s="3"/>
      <c r="D48" s="3"/>
      <c r="E48" s="3"/>
      <c r="F48" s="3"/>
      <c r="G48" s="43"/>
      <c r="H48" s="43"/>
      <c r="I48" s="4"/>
      <c r="J48" s="42"/>
      <c r="K48" s="4"/>
      <c r="L48" s="35"/>
      <c r="M48" s="35"/>
      <c r="N48" s="42"/>
      <c r="O48" s="114"/>
      <c r="P48" s="61"/>
      <c r="Q48" s="35"/>
      <c r="R48" s="46"/>
      <c r="S48" s="46"/>
      <c r="T48" s="117"/>
      <c r="U48" s="1"/>
    </row>
    <row r="49" spans="1:21" ht="18" customHeight="1">
      <c r="A49" s="112"/>
      <c r="B49" s="1056" t="s">
        <v>677</v>
      </c>
      <c r="C49" s="1056"/>
      <c r="D49" s="1056"/>
      <c r="E49" s="1056"/>
      <c r="F49" s="1056"/>
      <c r="G49" s="1056"/>
      <c r="H49" s="1056"/>
      <c r="I49" s="1056"/>
      <c r="J49" s="1056"/>
      <c r="K49" s="1056"/>
      <c r="L49" s="1006"/>
      <c r="M49" s="35"/>
      <c r="N49" s="42"/>
      <c r="O49" s="114"/>
      <c r="T49" s="117"/>
      <c r="U49" s="1"/>
    </row>
    <row r="50" spans="1:21" ht="16.899999999999999" customHeight="1">
      <c r="A50" s="112"/>
      <c r="B50" s="1056"/>
      <c r="C50" s="1056"/>
      <c r="D50" s="1056"/>
      <c r="E50" s="1056"/>
      <c r="F50" s="1056"/>
      <c r="G50" s="1056"/>
      <c r="H50" s="1056"/>
      <c r="I50" s="1056"/>
      <c r="J50" s="1056"/>
      <c r="K50" s="1056"/>
      <c r="L50" s="1006"/>
      <c r="M50" s="1453" t="s">
        <v>329</v>
      </c>
      <c r="N50" s="1453"/>
      <c r="O50" s="1453"/>
      <c r="P50" s="1453"/>
      <c r="Q50" s="1453"/>
      <c r="R50" s="1453"/>
      <c r="S50" s="1453"/>
      <c r="T50" s="117"/>
      <c r="U50" s="1"/>
    </row>
    <row r="51" spans="1:21" ht="15.6" customHeight="1">
      <c r="A51" s="112"/>
      <c r="B51" s="3" t="s">
        <v>473</v>
      </c>
      <c r="C51" s="3"/>
      <c r="D51" s="3"/>
      <c r="E51" s="3"/>
      <c r="H51" s="43"/>
      <c r="I51" s="4"/>
      <c r="J51" s="45"/>
      <c r="K51" s="4"/>
      <c r="M51" s="1453"/>
      <c r="N51" s="1453"/>
      <c r="O51" s="1453"/>
      <c r="P51" s="1453"/>
      <c r="Q51" s="1453"/>
      <c r="R51" s="1453"/>
      <c r="S51" s="1453"/>
      <c r="T51" s="154"/>
      <c r="U51" s="1"/>
    </row>
    <row r="52" spans="1:21" ht="6" customHeight="1">
      <c r="A52" s="32"/>
      <c r="B52" s="45"/>
      <c r="R52" s="23"/>
      <c r="S52" s="19"/>
      <c r="T52" s="143"/>
      <c r="U52" s="1"/>
    </row>
    <row r="53" spans="1:21" ht="19.899999999999999" customHeight="1">
      <c r="A53" s="52"/>
      <c r="B53" s="4" t="s">
        <v>158</v>
      </c>
      <c r="C53" s="3" t="s">
        <v>328</v>
      </c>
      <c r="F53" s="967" t="str">
        <f>N36</f>
        <v xml:space="preserve"> </v>
      </c>
      <c r="G53" s="968"/>
      <c r="H53" s="1138" t="s">
        <v>550</v>
      </c>
      <c r="I53" s="1139"/>
      <c r="J53" s="1139"/>
      <c r="K53" s="1140"/>
      <c r="L53" s="1060"/>
      <c r="M53" s="1062"/>
      <c r="N53" s="108" t="s">
        <v>107</v>
      </c>
      <c r="O53" s="1415" t="str">
        <f>IF(ISBLANK(L53)," ",19.65*0.6*(R53^2)*(F53^0.5))</f>
        <v xml:space="preserve"> </v>
      </c>
      <c r="P53" s="1416"/>
      <c r="Q53" s="4" t="s">
        <v>141</v>
      </c>
      <c r="R53" s="407" t="str">
        <f>IF(ISBLANK(F8),"",IF(L53="1/4","0.25",IF(L53="7/32","0.21875",IF(L53="3/16","0.1875",IF(L53="1/8","0.125")))))</f>
        <v/>
      </c>
      <c r="S53" s="1" t="s">
        <v>287</v>
      </c>
      <c r="T53" s="143"/>
      <c r="U53" s="1"/>
    </row>
    <row r="54" spans="1:21" ht="6" customHeight="1">
      <c r="A54" s="52"/>
      <c r="B54" s="4"/>
      <c r="C54" s="5"/>
      <c r="F54" s="43"/>
      <c r="G54" s="43"/>
      <c r="H54" s="49"/>
      <c r="I54" s="49"/>
      <c r="J54" s="49"/>
      <c r="L54" s="35"/>
      <c r="M54" s="35"/>
      <c r="N54" s="149"/>
      <c r="O54" s="37"/>
      <c r="Q54" s="4"/>
      <c r="R54" s="379"/>
      <c r="T54" s="143"/>
      <c r="U54" s="1"/>
    </row>
    <row r="55" spans="1:21" ht="19.899999999999999" customHeight="1">
      <c r="A55" s="52"/>
      <c r="B55" s="4" t="s">
        <v>159</v>
      </c>
      <c r="C55" s="3" t="s">
        <v>328</v>
      </c>
      <c r="F55" s="967" t="str">
        <f>N38</f>
        <v xml:space="preserve"> </v>
      </c>
      <c r="G55" s="968"/>
      <c r="H55" s="1138" t="s">
        <v>550</v>
      </c>
      <c r="I55" s="1139"/>
      <c r="J55" s="1139"/>
      <c r="K55" s="1140"/>
      <c r="L55" s="1060"/>
      <c r="M55" s="1062"/>
      <c r="N55" s="108" t="s">
        <v>107</v>
      </c>
      <c r="O55" s="1415" t="str">
        <f>IF(ISBLANK(L55)," ",19.65*0.6*(R55^2)*(F55^0.5))</f>
        <v xml:space="preserve"> </v>
      </c>
      <c r="P55" s="1416"/>
      <c r="Q55" s="4" t="s">
        <v>141</v>
      </c>
      <c r="R55" s="407" t="str">
        <f>IF(ISBLANK(F8),"",IF(L55="1/4","0.25",IF(L55="7/32","0.21875",IF(L55="3/16","0.1875",IF(L55="1/8","0.125")))))</f>
        <v/>
      </c>
      <c r="T55" s="143"/>
      <c r="U55" s="1"/>
    </row>
    <row r="56" spans="1:21" ht="6" customHeight="1">
      <c r="A56" s="52"/>
      <c r="B56" s="4"/>
      <c r="C56" s="5"/>
      <c r="F56" s="43"/>
      <c r="G56" s="43"/>
      <c r="H56" s="49"/>
      <c r="I56" s="49"/>
      <c r="J56" s="49"/>
      <c r="L56" s="35"/>
      <c r="M56" s="35"/>
      <c r="N56" s="149"/>
      <c r="O56" s="37"/>
      <c r="Q56" s="4"/>
      <c r="R56" s="379"/>
      <c r="T56" s="143"/>
      <c r="U56" s="1"/>
    </row>
    <row r="57" spans="1:21" ht="19.899999999999999" customHeight="1">
      <c r="A57" s="52"/>
      <c r="B57" s="4" t="s">
        <v>160</v>
      </c>
      <c r="C57" s="3" t="s">
        <v>328</v>
      </c>
      <c r="F57" s="967" t="str">
        <f>N40</f>
        <v xml:space="preserve"> </v>
      </c>
      <c r="G57" s="968"/>
      <c r="H57" s="1138" t="s">
        <v>550</v>
      </c>
      <c r="I57" s="1139"/>
      <c r="J57" s="1139"/>
      <c r="K57" s="1140"/>
      <c r="L57" s="1060"/>
      <c r="M57" s="1062"/>
      <c r="N57" s="108" t="s">
        <v>107</v>
      </c>
      <c r="O57" s="1415" t="str">
        <f>IF(ISBLANK(L57)," ",19.65*0.6*(R57^2)*(F57^0.5))</f>
        <v xml:space="preserve"> </v>
      </c>
      <c r="P57" s="1416"/>
      <c r="Q57" s="4" t="s">
        <v>141</v>
      </c>
      <c r="R57" s="407" t="str">
        <f>IF(ISBLANK(F10),"",IF(L57="1/4","0.25",IF(L57="7/32","0.21875",IF(L57="3/16","0.1875",IF(L57="1/8","0.125")))))</f>
        <v/>
      </c>
      <c r="T57" s="143"/>
      <c r="U57" s="1"/>
    </row>
    <row r="58" spans="1:21" ht="6" customHeight="1">
      <c r="A58" s="52"/>
      <c r="B58" s="4"/>
      <c r="C58" s="5"/>
      <c r="F58" s="43"/>
      <c r="G58" s="43"/>
      <c r="H58" s="49"/>
      <c r="I58" s="49"/>
      <c r="J58" s="49"/>
      <c r="L58" s="35"/>
      <c r="M58" s="35"/>
      <c r="N58" s="149"/>
      <c r="O58" s="37"/>
      <c r="Q58" s="4"/>
      <c r="R58" s="379"/>
      <c r="T58" s="143"/>
      <c r="U58" s="1"/>
    </row>
    <row r="59" spans="1:21" ht="19.899999999999999" customHeight="1">
      <c r="A59" s="52"/>
      <c r="B59" s="4" t="s">
        <v>161</v>
      </c>
      <c r="C59" s="3" t="s">
        <v>328</v>
      </c>
      <c r="F59" s="967" t="str">
        <f>N42</f>
        <v xml:space="preserve"> </v>
      </c>
      <c r="G59" s="968"/>
      <c r="H59" s="1138" t="s">
        <v>550</v>
      </c>
      <c r="I59" s="1139"/>
      <c r="J59" s="1139"/>
      <c r="K59" s="1140"/>
      <c r="L59" s="1060"/>
      <c r="M59" s="1062"/>
      <c r="N59" s="108" t="s">
        <v>107</v>
      </c>
      <c r="O59" s="1415" t="str">
        <f>IF(ISBLANK(L59)," ",19.65*0.6*(R59^2)*(F59^0.5))</f>
        <v xml:space="preserve"> </v>
      </c>
      <c r="P59" s="1416"/>
      <c r="Q59" s="4" t="s">
        <v>141</v>
      </c>
      <c r="R59" s="407" t="str">
        <f>IF(ISBLANK(F12),"",IF(L59="1/4","0.25",IF(L59="7/32","0.21875",IF(L59="3/16","0.1875",IF(L59="1/8","0.125")))))</f>
        <v/>
      </c>
      <c r="T59" s="143"/>
      <c r="U59" s="1"/>
    </row>
    <row r="60" spans="1:21" ht="6" customHeight="1">
      <c r="A60" s="52"/>
      <c r="B60" s="4"/>
      <c r="C60" s="5"/>
      <c r="F60" s="43"/>
      <c r="G60" s="43"/>
      <c r="H60" s="49"/>
      <c r="I60" s="49"/>
      <c r="J60" s="49"/>
      <c r="L60" s="35"/>
      <c r="M60" s="35"/>
      <c r="N60" s="149"/>
      <c r="O60" s="37"/>
      <c r="Q60" s="4"/>
      <c r="R60" s="379"/>
      <c r="T60" s="143"/>
      <c r="U60" s="1"/>
    </row>
    <row r="61" spans="1:21" ht="19.899999999999999" customHeight="1">
      <c r="A61" s="52"/>
      <c r="B61" s="4" t="s">
        <v>162</v>
      </c>
      <c r="C61" s="3" t="s">
        <v>328</v>
      </c>
      <c r="F61" s="967" t="str">
        <f>N44</f>
        <v xml:space="preserve"> </v>
      </c>
      <c r="G61" s="968"/>
      <c r="H61" s="1138" t="s">
        <v>550</v>
      </c>
      <c r="I61" s="1139"/>
      <c r="J61" s="1139"/>
      <c r="K61" s="1140"/>
      <c r="L61" s="1060"/>
      <c r="M61" s="1062"/>
      <c r="N61" s="108" t="s">
        <v>107</v>
      </c>
      <c r="O61" s="1415" t="str">
        <f>IF(ISBLANK(L61)," ",19.65*0.6*(R61^2)*(F61^0.5))</f>
        <v xml:space="preserve"> </v>
      </c>
      <c r="P61" s="1416"/>
      <c r="Q61" s="4" t="s">
        <v>141</v>
      </c>
      <c r="R61" s="407" t="str">
        <f>IF(ISBLANK(F14),"",IF(L61="1/4","0.25",IF(L61="7/32","0.21875",IF(L61="3/16","0.1875",IF(L61="1/8","0.125")))))</f>
        <v/>
      </c>
      <c r="T61" s="143"/>
      <c r="U61" s="1"/>
    </row>
    <row r="62" spans="1:21" ht="6" customHeight="1">
      <c r="A62" s="52"/>
      <c r="B62" s="4"/>
      <c r="C62" s="5"/>
      <c r="F62" s="43"/>
      <c r="G62" s="43"/>
      <c r="H62" s="49"/>
      <c r="I62" s="49"/>
      <c r="J62" s="49"/>
      <c r="L62" s="35"/>
      <c r="M62" s="35"/>
      <c r="N62" s="149"/>
      <c r="O62" s="37"/>
      <c r="Q62" s="4"/>
      <c r="R62" s="379"/>
      <c r="T62" s="143"/>
      <c r="U62" s="1"/>
    </row>
    <row r="63" spans="1:21" ht="19.899999999999999" customHeight="1">
      <c r="A63" s="52"/>
      <c r="B63" s="4" t="s">
        <v>687</v>
      </c>
      <c r="C63" s="3" t="s">
        <v>328</v>
      </c>
      <c r="F63" s="967" t="str">
        <f>N46</f>
        <v xml:space="preserve"> </v>
      </c>
      <c r="G63" s="968"/>
      <c r="H63" s="1138" t="s">
        <v>550</v>
      </c>
      <c r="I63" s="1139"/>
      <c r="J63" s="1139"/>
      <c r="K63" s="1140"/>
      <c r="L63" s="1060"/>
      <c r="M63" s="1062"/>
      <c r="N63" s="108" t="s">
        <v>107</v>
      </c>
      <c r="O63" s="1415" t="str">
        <f>IF(ISBLANK(L63)," ",19.65*0.6*(R63^2)*(F63^0.5))</f>
        <v xml:space="preserve"> </v>
      </c>
      <c r="P63" s="1416"/>
      <c r="Q63" s="4" t="s">
        <v>141</v>
      </c>
      <c r="R63" s="407" t="str">
        <f>IF(ISBLANK(F16),"",IF(L63="1/4","0.25",IF(L63="7/32","0.21875",IF(L63="3/16","0.1875",IF(L63="1/8","0.125")))))</f>
        <v/>
      </c>
      <c r="S63" s="1" t="s">
        <v>288</v>
      </c>
      <c r="T63" s="143"/>
      <c r="U63" s="1"/>
    </row>
    <row r="64" spans="1:21" ht="10.15" customHeight="1">
      <c r="A64" s="29"/>
      <c r="B64" s="30"/>
      <c r="C64" s="30"/>
      <c r="D64" s="30"/>
      <c r="E64" s="30"/>
      <c r="F64" s="30"/>
      <c r="G64" s="30"/>
      <c r="H64" s="30"/>
      <c r="I64" s="107"/>
      <c r="J64" s="30"/>
      <c r="K64" s="30"/>
      <c r="L64" s="30"/>
      <c r="M64" s="30"/>
      <c r="N64" s="30"/>
      <c r="O64" s="30"/>
      <c r="P64" s="30"/>
      <c r="Q64" s="30"/>
      <c r="R64" s="253"/>
      <c r="S64" s="259"/>
      <c r="T64" s="189"/>
      <c r="U64" s="1"/>
    </row>
    <row r="65" spans="1:21" ht="18" customHeight="1">
      <c r="A65" s="260" t="s">
        <v>100</v>
      </c>
      <c r="B65" s="50" t="s">
        <v>474</v>
      </c>
      <c r="C65" s="50"/>
      <c r="D65" s="50"/>
      <c r="E65" s="50"/>
      <c r="F65" s="50"/>
      <c r="G65" s="50"/>
      <c r="H65" s="50"/>
      <c r="I65" s="50"/>
      <c r="J65" s="50"/>
      <c r="K65" s="50"/>
      <c r="L65" s="50"/>
      <c r="M65" s="50"/>
      <c r="N65" s="50"/>
      <c r="O65" s="50"/>
      <c r="P65" s="50"/>
      <c r="Q65" s="50"/>
      <c r="R65" s="50"/>
      <c r="S65" s="50"/>
      <c r="T65" s="80"/>
      <c r="U65" s="1"/>
    </row>
    <row r="66" spans="1:21" ht="6" customHeight="1">
      <c r="A66" s="115"/>
      <c r="T66" s="33"/>
      <c r="U66" s="1"/>
    </row>
    <row r="67" spans="1:21" ht="19.899999999999999" customHeight="1">
      <c r="A67" s="127" t="s">
        <v>154</v>
      </c>
      <c r="B67" s="3" t="s">
        <v>109</v>
      </c>
      <c r="C67" s="3"/>
      <c r="D67" s="3"/>
      <c r="E67" s="3"/>
      <c r="F67" s="1393"/>
      <c r="G67" s="1394"/>
      <c r="H67" s="4" t="s">
        <v>525</v>
      </c>
      <c r="I67" s="4" t="s">
        <v>107</v>
      </c>
      <c r="J67" s="967" t="str">
        <f>IF(ISBLANK(F67),"",F67*12)</f>
        <v/>
      </c>
      <c r="K67" s="968"/>
      <c r="L67" s="1" t="s">
        <v>538</v>
      </c>
      <c r="T67" s="33"/>
      <c r="U67" s="1"/>
    </row>
    <row r="68" spans="1:21" ht="6" customHeight="1">
      <c r="A68" s="127"/>
      <c r="B68" s="3"/>
      <c r="C68" s="3"/>
      <c r="D68" s="3"/>
      <c r="E68" s="3"/>
      <c r="F68" s="35"/>
      <c r="G68" s="35"/>
      <c r="H68" s="4"/>
      <c r="T68" s="33"/>
      <c r="U68" s="1"/>
    </row>
    <row r="69" spans="1:21" ht="18" customHeight="1">
      <c r="A69" s="127" t="s">
        <v>527</v>
      </c>
      <c r="B69" s="7" t="s">
        <v>515</v>
      </c>
      <c r="C69" s="8"/>
      <c r="D69" s="8"/>
      <c r="E69" s="8"/>
      <c r="F69" s="8"/>
      <c r="G69" s="8"/>
      <c r="T69" s="33"/>
      <c r="U69" s="1"/>
    </row>
    <row r="70" spans="1:21" ht="6" customHeight="1">
      <c r="A70" s="127"/>
      <c r="B70" s="7"/>
      <c r="C70" s="8"/>
      <c r="D70" s="8"/>
      <c r="E70" s="8"/>
      <c r="F70" s="8"/>
      <c r="G70" s="8"/>
      <c r="T70" s="33"/>
      <c r="U70" s="1"/>
    </row>
    <row r="71" spans="1:21" ht="19.899999999999999" customHeight="1">
      <c r="A71" s="127"/>
      <c r="B71" s="998" t="str">
        <f>IF(ISBLANK(M6)," ",M6)</f>
        <v xml:space="preserve"> </v>
      </c>
      <c r="C71" s="999"/>
      <c r="D71" s="1378" t="s">
        <v>103</v>
      </c>
      <c r="E71" s="1418"/>
      <c r="F71" s="998" t="str">
        <f>IF(ISBLANK(M6)," ",B71-2)</f>
        <v xml:space="preserve"> </v>
      </c>
      <c r="G71" s="999"/>
      <c r="I71" s="188"/>
      <c r="J71" s="9"/>
      <c r="K71" s="9"/>
      <c r="L71" s="188"/>
      <c r="T71" s="33"/>
      <c r="U71" s="1"/>
    </row>
    <row r="72" spans="1:21" ht="6" customHeight="1">
      <c r="A72" s="127"/>
      <c r="B72" s="3"/>
      <c r="C72" s="3"/>
      <c r="D72" s="3"/>
      <c r="E72" s="3"/>
      <c r="F72" s="35"/>
      <c r="G72" s="35"/>
      <c r="H72" s="4"/>
      <c r="T72" s="33"/>
      <c r="U72" s="1"/>
    </row>
    <row r="73" spans="1:21" ht="18" customHeight="1">
      <c r="A73" s="127" t="s">
        <v>156</v>
      </c>
      <c r="B73" s="1397" t="s">
        <v>829</v>
      </c>
      <c r="C73" s="1397"/>
      <c r="D73" s="1397"/>
      <c r="E73" s="1397"/>
      <c r="F73" s="1397"/>
      <c r="G73" s="1397"/>
      <c r="H73" s="1397"/>
      <c r="I73" s="1397"/>
      <c r="J73" s="1397"/>
      <c r="K73" s="1397"/>
      <c r="L73" s="1397"/>
      <c r="M73" s="36"/>
      <c r="N73" s="36"/>
      <c r="O73" s="36"/>
      <c r="P73" s="36"/>
      <c r="Q73" s="36"/>
      <c r="T73" s="33"/>
      <c r="U73" s="1"/>
    </row>
    <row r="74" spans="1:21" ht="18" customHeight="1">
      <c r="A74" s="127"/>
      <c r="B74" s="1397"/>
      <c r="C74" s="1397"/>
      <c r="D74" s="1397"/>
      <c r="E74" s="1397"/>
      <c r="F74" s="1397"/>
      <c r="G74" s="1397"/>
      <c r="H74" s="1397"/>
      <c r="I74" s="1397"/>
      <c r="J74" s="1397"/>
      <c r="K74" s="1397"/>
      <c r="L74" s="1397"/>
      <c r="M74" s="36"/>
      <c r="N74" s="36"/>
      <c r="O74" s="36"/>
      <c r="P74" s="36"/>
      <c r="Q74" s="36"/>
      <c r="T74" s="33"/>
      <c r="U74" s="1"/>
    </row>
    <row r="75" spans="1:21" ht="18" customHeight="1">
      <c r="A75" s="127"/>
      <c r="B75" s="1397"/>
      <c r="C75" s="1397"/>
      <c r="D75" s="1397"/>
      <c r="E75" s="1397"/>
      <c r="F75" s="1397"/>
      <c r="G75" s="1397"/>
      <c r="H75" s="1397"/>
      <c r="I75" s="1397"/>
      <c r="J75" s="1397"/>
      <c r="K75" s="1397"/>
      <c r="L75" s="1397"/>
      <c r="M75" s="36"/>
      <c r="N75" s="36"/>
      <c r="O75" s="36"/>
      <c r="P75" s="36"/>
      <c r="Q75" s="36"/>
      <c r="T75" s="33"/>
      <c r="U75" s="1"/>
    </row>
    <row r="76" spans="1:21" ht="19.899999999999999" customHeight="1">
      <c r="A76" s="127"/>
      <c r="B76" s="998" t="str">
        <f>F71</f>
        <v xml:space="preserve"> </v>
      </c>
      <c r="C76" s="999"/>
      <c r="D76" s="4" t="s">
        <v>112</v>
      </c>
      <c r="E76" s="967" t="str">
        <f>IF(ISBLANK(F67)," ",F67)</f>
        <v xml:space="preserve"> </v>
      </c>
      <c r="F76" s="968"/>
      <c r="G76" s="4" t="s">
        <v>113</v>
      </c>
      <c r="H76" s="998" t="str">
        <f>IF(ISERROR(ROUNDDOWN((B76/E76),0))," ",ROUNDDOWN((B76/E76),0))</f>
        <v xml:space="preserve"> </v>
      </c>
      <c r="I76" s="999"/>
      <c r="J76" s="3" t="s">
        <v>114</v>
      </c>
      <c r="K76" s="9"/>
      <c r="L76" s="8"/>
      <c r="M76" s="35"/>
      <c r="T76" s="33"/>
      <c r="U76" s="1"/>
    </row>
    <row r="77" spans="1:21" ht="6" customHeight="1">
      <c r="A77" s="56"/>
      <c r="B77" s="7"/>
      <c r="C77" s="3"/>
      <c r="F77" s="35"/>
      <c r="G77" s="35"/>
      <c r="H77" s="4"/>
      <c r="I77" s="35"/>
      <c r="J77" s="35"/>
      <c r="K77" s="4"/>
      <c r="L77" s="35"/>
      <c r="M77" s="35"/>
      <c r="N77" s="3"/>
      <c r="T77" s="33"/>
      <c r="U77" s="1"/>
    </row>
    <row r="78" spans="1:21" ht="18" customHeight="1">
      <c r="A78" s="127" t="s">
        <v>476</v>
      </c>
      <c r="B78" s="3" t="s">
        <v>95</v>
      </c>
      <c r="D78" s="3"/>
      <c r="E78" s="3"/>
      <c r="F78" s="3"/>
      <c r="G78" s="3"/>
      <c r="J78" s="224"/>
      <c r="K78" s="224"/>
      <c r="M78" s="224"/>
      <c r="N78" s="224"/>
      <c r="T78" s="33"/>
      <c r="U78" s="1"/>
    </row>
    <row r="79" spans="1:21" ht="6" customHeight="1">
      <c r="A79" s="56"/>
      <c r="B79" s="7"/>
      <c r="C79" s="3"/>
      <c r="F79" s="35"/>
      <c r="G79" s="35"/>
      <c r="H79" s="4"/>
      <c r="I79" s="35"/>
      <c r="J79" s="35"/>
      <c r="K79" s="4"/>
      <c r="L79" s="35"/>
      <c r="M79" s="35"/>
      <c r="N79" s="3"/>
      <c r="T79" s="33"/>
      <c r="U79" s="1"/>
    </row>
    <row r="80" spans="1:21" ht="18" customHeight="1">
      <c r="A80" s="56" t="s">
        <v>477</v>
      </c>
      <c r="B80" s="7" t="s">
        <v>475</v>
      </c>
      <c r="C80" s="3"/>
      <c r="T80" s="33"/>
      <c r="U80" s="1"/>
    </row>
    <row r="81" spans="1:21" ht="19.899999999999999" customHeight="1">
      <c r="A81" s="127"/>
      <c r="B81" s="998" t="str">
        <f>H76</f>
        <v xml:space="preserve"> </v>
      </c>
      <c r="C81" s="999"/>
      <c r="D81" s="1182" t="s">
        <v>466</v>
      </c>
      <c r="E81" s="1141"/>
      <c r="F81" s="1141"/>
      <c r="G81" s="998" t="str">
        <f>IF(ISERROR(B81+1)," ",B81+1)</f>
        <v xml:space="preserve"> </v>
      </c>
      <c r="H81" s="999"/>
      <c r="L81" s="35"/>
      <c r="M81" s="35"/>
      <c r="N81" s="149"/>
      <c r="O81" s="149"/>
      <c r="P81" s="149"/>
      <c r="Q81" s="35"/>
      <c r="R81" s="35"/>
      <c r="T81" s="33"/>
      <c r="U81" s="1"/>
    </row>
    <row r="82" spans="1:21" ht="6" customHeight="1">
      <c r="A82" s="56"/>
      <c r="T82" s="33"/>
      <c r="U82" s="1"/>
    </row>
    <row r="83" spans="1:21" ht="18" customHeight="1">
      <c r="A83" s="56" t="s">
        <v>539</v>
      </c>
      <c r="B83" s="7" t="s">
        <v>169</v>
      </c>
      <c r="C83" s="36"/>
      <c r="D83" s="36"/>
      <c r="E83" s="36"/>
      <c r="F83" s="36"/>
      <c r="G83" s="36"/>
      <c r="H83" s="36"/>
      <c r="I83" s="36"/>
      <c r="J83" s="36"/>
      <c r="K83" s="36"/>
      <c r="T83" s="33"/>
      <c r="U83" s="1"/>
    </row>
    <row r="84" spans="1:21" ht="6" customHeight="1">
      <c r="A84" s="97"/>
      <c r="B84" s="36"/>
      <c r="C84" s="36"/>
      <c r="D84" s="36"/>
      <c r="E84" s="36"/>
      <c r="F84" s="36"/>
      <c r="G84" s="36"/>
      <c r="H84" s="36"/>
      <c r="I84" s="36"/>
      <c r="J84" s="36"/>
      <c r="K84" s="36"/>
      <c r="T84" s="33"/>
      <c r="U84" s="1"/>
    </row>
    <row r="85" spans="1:21" ht="19.899999999999999" customHeight="1">
      <c r="A85" s="32"/>
      <c r="B85" s="998" t="str">
        <f>G81</f>
        <v xml:space="preserve"> </v>
      </c>
      <c r="C85" s="999"/>
      <c r="D85" s="4" t="s">
        <v>106</v>
      </c>
      <c r="E85" s="1087" t="str">
        <f>O53</f>
        <v xml:space="preserve"> </v>
      </c>
      <c r="F85" s="1088"/>
      <c r="G85" s="4" t="s">
        <v>107</v>
      </c>
      <c r="H85" s="967" t="str">
        <f>IF(ISBLANK(F67)," ",B85*E85)</f>
        <v xml:space="preserve"> </v>
      </c>
      <c r="I85" s="968"/>
      <c r="J85" s="8" t="s">
        <v>478</v>
      </c>
      <c r="T85" s="33"/>
      <c r="U85" s="1"/>
    </row>
    <row r="86" spans="1:21" ht="6" customHeight="1">
      <c r="A86" s="29"/>
      <c r="B86" s="30"/>
      <c r="C86" s="30"/>
      <c r="D86" s="30"/>
      <c r="E86" s="30"/>
      <c r="F86" s="30"/>
      <c r="G86" s="30"/>
      <c r="H86" s="30"/>
      <c r="I86" s="30"/>
      <c r="J86" s="30"/>
      <c r="K86" s="30"/>
      <c r="L86" s="30"/>
      <c r="M86" s="30"/>
      <c r="N86" s="30"/>
      <c r="O86" s="30"/>
      <c r="P86" s="30"/>
      <c r="Q86" s="30"/>
      <c r="R86" s="30"/>
      <c r="S86" s="30"/>
      <c r="T86" s="31"/>
      <c r="U86" s="1"/>
    </row>
    <row r="87" spans="1:21" ht="18" customHeight="1">
      <c r="A87" s="260" t="s">
        <v>102</v>
      </c>
      <c r="B87" s="1454" t="s">
        <v>163</v>
      </c>
      <c r="C87" s="1454"/>
      <c r="D87" s="1454"/>
      <c r="E87" s="1454"/>
      <c r="F87" s="1454"/>
      <c r="G87" s="1454"/>
      <c r="H87" s="1454"/>
      <c r="I87" s="1454"/>
      <c r="J87" s="1454"/>
      <c r="K87" s="1454"/>
      <c r="L87" s="1454"/>
      <c r="M87" s="1454"/>
      <c r="N87" s="1454"/>
      <c r="O87" s="50"/>
      <c r="P87" s="50"/>
      <c r="Q87" s="50"/>
      <c r="R87" s="50"/>
      <c r="S87" s="50"/>
      <c r="T87" s="80"/>
      <c r="U87" s="1"/>
    </row>
    <row r="88" spans="1:21" ht="18" customHeight="1">
      <c r="A88" s="32"/>
      <c r="B88" s="1056"/>
      <c r="C88" s="1056"/>
      <c r="D88" s="1056"/>
      <c r="E88" s="1056"/>
      <c r="F88" s="1056"/>
      <c r="G88" s="1056"/>
      <c r="H88" s="1056"/>
      <c r="I88" s="1056"/>
      <c r="J88" s="1056"/>
      <c r="K88" s="1056"/>
      <c r="L88" s="1056"/>
      <c r="M88" s="1056"/>
      <c r="N88" s="1056"/>
      <c r="T88" s="33"/>
      <c r="U88" s="1"/>
    </row>
    <row r="89" spans="1:21" ht="18" customHeight="1">
      <c r="A89" s="32"/>
      <c r="B89" s="1" t="s">
        <v>479</v>
      </c>
      <c r="E89" s="1" t="s">
        <v>480</v>
      </c>
      <c r="T89" s="33"/>
      <c r="U89" s="1"/>
    </row>
    <row r="90" spans="1:21" ht="6" customHeight="1">
      <c r="A90" s="32"/>
      <c r="T90" s="33"/>
      <c r="U90" s="1"/>
    </row>
    <row r="91" spans="1:21" ht="19.899999999999999" customHeight="1">
      <c r="A91" s="72"/>
      <c r="B91" s="967" t="str">
        <f>H85</f>
        <v xml:space="preserve"> </v>
      </c>
      <c r="C91" s="968"/>
      <c r="D91" s="9" t="s">
        <v>613</v>
      </c>
      <c r="E91" s="532" t="str">
        <f>F71</f>
        <v xml:space="preserve"> </v>
      </c>
      <c r="F91" s="4" t="s">
        <v>107</v>
      </c>
      <c r="G91" s="1087" t="str">
        <f>IF(ISBLANK(F67)," ",B91/E91)</f>
        <v xml:space="preserve"> </v>
      </c>
      <c r="H91" s="1088"/>
      <c r="I91" s="1" t="s">
        <v>481</v>
      </c>
      <c r="K91" s="35"/>
      <c r="L91" s="35"/>
      <c r="M91" s="35"/>
      <c r="N91" s="35"/>
      <c r="O91" s="35"/>
      <c r="P91" s="35"/>
      <c r="Q91" s="35"/>
      <c r="R91" s="35"/>
      <c r="S91" s="35"/>
      <c r="T91" s="126"/>
      <c r="U91" s="1"/>
    </row>
    <row r="92" spans="1:21" ht="18" customHeight="1">
      <c r="A92" s="145"/>
      <c r="B92" s="12"/>
      <c r="C92" s="12"/>
      <c r="D92" s="12"/>
      <c r="E92" s="12"/>
      <c r="F92" s="12"/>
      <c r="G92" s="12"/>
      <c r="H92" s="12"/>
      <c r="I92" s="12"/>
      <c r="J92" s="12"/>
      <c r="K92" s="12"/>
      <c r="L92" s="12"/>
      <c r="M92" s="12"/>
      <c r="N92" s="12"/>
      <c r="O92" s="12"/>
      <c r="P92" s="12"/>
      <c r="Q92" s="12"/>
      <c r="R92" s="12"/>
      <c r="S92" s="12"/>
      <c r="T92" s="144"/>
      <c r="U92" s="1"/>
    </row>
    <row r="93" spans="1:21" ht="21" customHeight="1">
      <c r="A93" s="145"/>
      <c r="B93" s="12"/>
      <c r="C93" s="12"/>
      <c r="D93" s="12"/>
      <c r="E93" s="12"/>
      <c r="F93" s="12"/>
      <c r="G93" s="12"/>
      <c r="H93" s="12"/>
      <c r="I93" s="12"/>
      <c r="J93" s="12"/>
      <c r="K93" s="12"/>
      <c r="L93" s="12"/>
      <c r="M93" s="12"/>
      <c r="N93" s="12"/>
      <c r="O93" s="12"/>
      <c r="P93" s="12"/>
      <c r="Q93" s="12"/>
      <c r="R93" s="12"/>
      <c r="S93" s="12"/>
      <c r="T93" s="144"/>
      <c r="U93" s="1"/>
    </row>
    <row r="94" spans="1:21" ht="21" customHeight="1">
      <c r="A94" s="145"/>
      <c r="B94" s="12"/>
      <c r="C94" s="12"/>
      <c r="D94" s="12"/>
      <c r="E94" s="12"/>
      <c r="F94" s="12"/>
      <c r="G94" s="12"/>
      <c r="H94" s="12"/>
      <c r="I94" s="12"/>
      <c r="J94" s="12"/>
      <c r="K94" s="12"/>
      <c r="L94" s="12"/>
      <c r="M94" s="12"/>
      <c r="N94" s="12"/>
      <c r="O94" s="12"/>
      <c r="P94" s="12"/>
      <c r="Q94" s="12"/>
      <c r="R94" s="12"/>
      <c r="S94" s="12"/>
      <c r="T94" s="144"/>
      <c r="U94" s="1"/>
    </row>
    <row r="95" spans="1:21" ht="21" customHeight="1">
      <c r="A95" s="145"/>
      <c r="B95" s="12"/>
      <c r="C95" s="12"/>
      <c r="D95" s="12"/>
      <c r="E95" s="12"/>
      <c r="F95" s="12"/>
      <c r="G95" s="12"/>
      <c r="H95" s="12"/>
      <c r="I95" s="12"/>
      <c r="J95" s="12"/>
      <c r="K95" s="12"/>
      <c r="L95" s="12"/>
      <c r="M95" s="12"/>
      <c r="N95" s="12"/>
      <c r="O95" s="12"/>
      <c r="P95" s="12"/>
      <c r="Q95" s="12"/>
      <c r="R95" s="12"/>
      <c r="S95" s="12"/>
      <c r="T95" s="144"/>
      <c r="U95" s="1"/>
    </row>
    <row r="96" spans="1:21" ht="21" customHeight="1">
      <c r="A96" s="145"/>
      <c r="B96" s="12"/>
      <c r="C96" s="12"/>
      <c r="D96" s="12"/>
      <c r="E96" s="12"/>
      <c r="F96" s="12"/>
      <c r="G96" s="12"/>
      <c r="H96" s="12"/>
      <c r="I96" s="12"/>
      <c r="J96" s="12"/>
      <c r="K96" s="12"/>
      <c r="L96" s="12"/>
      <c r="M96" s="12"/>
      <c r="N96" s="12"/>
      <c r="O96" s="12"/>
      <c r="P96" s="12"/>
      <c r="Q96" s="12"/>
      <c r="R96" s="12"/>
      <c r="S96" s="12"/>
      <c r="T96" s="144"/>
      <c r="U96" s="1"/>
    </row>
    <row r="97" spans="1:38" ht="21" customHeight="1">
      <c r="A97" s="116"/>
      <c r="B97" s="46"/>
      <c r="C97" s="46"/>
      <c r="D97" s="46"/>
      <c r="E97" s="46"/>
      <c r="F97" s="46"/>
      <c r="G97" s="46"/>
      <c r="H97" s="46"/>
      <c r="I97" s="46"/>
      <c r="J97" s="46"/>
      <c r="K97" s="46"/>
      <c r="L97" s="46"/>
      <c r="M97" s="46"/>
      <c r="N97" s="46"/>
      <c r="O97" s="46"/>
      <c r="P97" s="46"/>
      <c r="Q97" s="46"/>
      <c r="R97" s="46"/>
      <c r="S97" s="46"/>
      <c r="T97" s="117"/>
      <c r="U97" s="1"/>
    </row>
    <row r="98" spans="1:38" ht="21" customHeight="1">
      <c r="A98" s="116"/>
      <c r="B98" s="46"/>
      <c r="C98" s="47"/>
      <c r="D98" s="47"/>
      <c r="E98" s="47"/>
      <c r="F98" s="47"/>
      <c r="G98" s="47"/>
      <c r="H98" s="46"/>
      <c r="I98" s="46"/>
      <c r="J98" s="47"/>
      <c r="K98" s="47"/>
      <c r="L98" s="47"/>
      <c r="M98" s="47"/>
      <c r="N98" s="47"/>
      <c r="O98" s="46"/>
      <c r="P98" s="46"/>
      <c r="Q98" s="46"/>
      <c r="R98" s="47"/>
      <c r="S98" s="47"/>
      <c r="T98" s="104"/>
      <c r="U98" s="1"/>
    </row>
    <row r="99" spans="1:38" ht="21" customHeight="1">
      <c r="A99" s="116"/>
      <c r="B99" s="46"/>
      <c r="C99" s="46"/>
      <c r="D99" s="46"/>
      <c r="E99" s="46"/>
      <c r="F99" s="46"/>
      <c r="G99" s="46"/>
      <c r="H99" s="46"/>
      <c r="I99" s="46"/>
      <c r="J99" s="46"/>
      <c r="K99" s="46"/>
      <c r="L99" s="46"/>
      <c r="M99" s="46"/>
      <c r="N99" s="46"/>
      <c r="O99" s="46"/>
      <c r="P99" s="46"/>
      <c r="Q99" s="46"/>
      <c r="R99" s="46"/>
      <c r="S99" s="46"/>
      <c r="T99" s="117"/>
      <c r="U99" s="1"/>
    </row>
    <row r="100" spans="1:38" ht="21" customHeight="1">
      <c r="A100" s="116"/>
      <c r="B100" s="46"/>
      <c r="C100" s="46"/>
      <c r="D100" s="46"/>
      <c r="E100" s="46"/>
      <c r="F100" s="46"/>
      <c r="G100" s="46"/>
      <c r="H100" s="46"/>
      <c r="I100" s="46"/>
      <c r="J100" s="46"/>
      <c r="K100" s="46"/>
      <c r="L100" s="46"/>
      <c r="M100" s="46"/>
      <c r="N100" s="46"/>
      <c r="O100" s="46"/>
      <c r="P100" s="46"/>
      <c r="Q100" s="46"/>
      <c r="R100" s="46"/>
      <c r="S100" s="46"/>
      <c r="T100" s="117"/>
      <c r="U100" s="1"/>
    </row>
    <row r="101" spans="1:38" ht="21" customHeight="1">
      <c r="A101" s="116"/>
      <c r="B101" s="46"/>
      <c r="C101" s="46"/>
      <c r="D101" s="46"/>
      <c r="E101" s="46"/>
      <c r="F101" s="46"/>
      <c r="G101" s="46"/>
      <c r="H101" s="1461"/>
      <c r="I101" s="1461"/>
      <c r="J101" s="46"/>
      <c r="K101" s="46"/>
      <c r="L101" s="46"/>
      <c r="M101" s="46"/>
      <c r="N101" s="46"/>
      <c r="O101" s="46"/>
      <c r="P101" s="46"/>
      <c r="Q101" s="46"/>
      <c r="R101" s="46"/>
      <c r="S101" s="46"/>
      <c r="T101" s="117"/>
      <c r="U101" s="1"/>
    </row>
    <row r="102" spans="1:38" ht="21" customHeight="1">
      <c r="A102" s="116"/>
      <c r="B102" s="46"/>
      <c r="C102" s="46"/>
      <c r="D102" s="46"/>
      <c r="E102" s="46"/>
      <c r="F102" s="46"/>
      <c r="G102" s="46"/>
      <c r="H102" s="46"/>
      <c r="I102" s="46"/>
      <c r="J102" s="46"/>
      <c r="K102" s="46"/>
      <c r="L102" s="46"/>
      <c r="M102" s="46"/>
      <c r="N102" s="46"/>
      <c r="O102" s="46"/>
      <c r="P102" s="46"/>
      <c r="Q102" s="46"/>
      <c r="R102" s="46"/>
      <c r="S102" s="46"/>
      <c r="T102" s="117"/>
      <c r="U102" s="1"/>
      <c r="AI102" s="3"/>
      <c r="AJ102" s="3"/>
      <c r="AK102" s="3"/>
      <c r="AL102" s="3"/>
    </row>
    <row r="103" spans="1:38" ht="21" customHeight="1">
      <c r="A103" s="118"/>
      <c r="B103" s="119"/>
      <c r="C103" s="119"/>
      <c r="D103" s="119"/>
      <c r="E103" s="119"/>
      <c r="F103" s="119"/>
      <c r="G103" s="119"/>
      <c r="H103" s="119"/>
      <c r="I103" s="119"/>
      <c r="J103" s="119"/>
      <c r="K103" s="119"/>
      <c r="L103" s="119"/>
      <c r="M103" s="119"/>
      <c r="N103" s="119"/>
      <c r="O103" s="119"/>
      <c r="P103" s="119"/>
      <c r="Q103" s="119"/>
      <c r="R103" s="119"/>
      <c r="S103" s="119"/>
      <c r="T103" s="120"/>
      <c r="U103" s="1"/>
    </row>
    <row r="104" spans="1:38" ht="18" customHeight="1">
      <c r="A104" s="261" t="s">
        <v>104</v>
      </c>
      <c r="B104" s="121" t="s">
        <v>482</v>
      </c>
      <c r="C104" s="50"/>
      <c r="D104" s="50"/>
      <c r="E104" s="50"/>
      <c r="F104" s="50"/>
      <c r="G104" s="50"/>
      <c r="H104" s="50"/>
      <c r="I104" s="50"/>
      <c r="J104" s="50"/>
      <c r="K104" s="50"/>
      <c r="L104" s="50"/>
      <c r="M104" s="50"/>
      <c r="N104" s="50"/>
      <c r="O104" s="50"/>
      <c r="P104" s="50"/>
      <c r="Q104" s="50"/>
      <c r="R104" s="50"/>
      <c r="S104" s="50"/>
      <c r="T104" s="80"/>
      <c r="U104" s="1"/>
      <c r="AI104" s="3"/>
      <c r="AJ104" s="3"/>
      <c r="AK104" s="3"/>
      <c r="AL104" s="3"/>
    </row>
    <row r="105" spans="1:38" ht="18" customHeight="1">
      <c r="A105" s="122"/>
      <c r="B105" s="3" t="s">
        <v>486</v>
      </c>
      <c r="T105" s="33"/>
      <c r="U105" s="1"/>
    </row>
    <row r="106" spans="1:38" ht="6" customHeight="1">
      <c r="A106" s="122"/>
      <c r="B106" s="3"/>
      <c r="T106" s="33"/>
      <c r="U106" s="1"/>
    </row>
    <row r="107" spans="1:38" s="3" customFormat="1" ht="18" customHeight="1">
      <c r="A107" s="65"/>
      <c r="B107" s="3" t="s">
        <v>1135</v>
      </c>
      <c r="T107" s="123"/>
    </row>
    <row r="108" spans="1:38" s="3" customFormat="1" ht="6" customHeight="1">
      <c r="A108" s="65"/>
      <c r="T108" s="123"/>
    </row>
    <row r="109" spans="1:38" ht="19.899999999999999" customHeight="1">
      <c r="A109" s="32"/>
      <c r="B109" s="998" t="str">
        <f>IF(ISBLANK(M8)," ",M8-2)</f>
        <v xml:space="preserve"> </v>
      </c>
      <c r="C109" s="999"/>
      <c r="D109" s="4" t="s">
        <v>131</v>
      </c>
      <c r="E109" s="1087" t="str">
        <f>IF(ISBLANK(F8),"",G91)</f>
        <v/>
      </c>
      <c r="F109" s="1088"/>
      <c r="G109" s="1182" t="s">
        <v>609</v>
      </c>
      <c r="H109" s="1142"/>
      <c r="I109" s="967" t="str">
        <f>IF(ISBLANK(M8)," ",B109*E109)</f>
        <v xml:space="preserve"> </v>
      </c>
      <c r="J109" s="968"/>
      <c r="K109" s="3" t="s">
        <v>141</v>
      </c>
      <c r="M109" s="3"/>
      <c r="T109" s="33"/>
      <c r="U109" s="1"/>
    </row>
    <row r="110" spans="1:38" ht="6" customHeight="1">
      <c r="A110" s="32"/>
      <c r="C110" s="35"/>
      <c r="D110" s="35"/>
      <c r="E110" s="108"/>
      <c r="F110" s="37"/>
      <c r="G110" s="37"/>
      <c r="H110" s="108"/>
      <c r="I110" s="108"/>
      <c r="J110" s="43"/>
      <c r="K110" s="43"/>
      <c r="L110" s="156"/>
      <c r="M110" s="3"/>
      <c r="T110" s="33"/>
      <c r="U110" s="1"/>
    </row>
    <row r="111" spans="1:38" s="3" customFormat="1" ht="18" customHeight="1">
      <c r="A111" s="65"/>
      <c r="B111" s="3" t="s">
        <v>484</v>
      </c>
      <c r="L111" s="1056" t="s">
        <v>589</v>
      </c>
      <c r="M111" s="1006"/>
      <c r="N111" s="1006"/>
      <c r="O111" s="1006"/>
      <c r="P111" s="1006"/>
      <c r="Q111" s="1006"/>
      <c r="R111" s="1006"/>
      <c r="S111" s="1006"/>
      <c r="T111" s="1417"/>
    </row>
    <row r="112" spans="1:38" s="3" customFormat="1" ht="11.25" customHeight="1">
      <c r="A112" s="65"/>
      <c r="L112" s="1006"/>
      <c r="M112" s="1006"/>
      <c r="N112" s="1006"/>
      <c r="O112" s="1006"/>
      <c r="P112" s="1006"/>
      <c r="Q112" s="1006"/>
      <c r="R112" s="1006"/>
      <c r="S112" s="1006"/>
      <c r="T112" s="1417"/>
    </row>
    <row r="113" spans="1:24" ht="19.899999999999999" customHeight="1">
      <c r="A113" s="32"/>
      <c r="B113" s="967" t="str">
        <f>I109</f>
        <v xml:space="preserve"> </v>
      </c>
      <c r="C113" s="968"/>
      <c r="D113" s="9" t="s">
        <v>613</v>
      </c>
      <c r="E113" s="1087" t="str">
        <f>O55</f>
        <v xml:space="preserve"> </v>
      </c>
      <c r="F113" s="1088"/>
      <c r="G113" s="4" t="s">
        <v>107</v>
      </c>
      <c r="H113" s="961" t="str">
        <f>IF(ISBLANK(M8)," ",B113/E113)</f>
        <v xml:space="preserve"> </v>
      </c>
      <c r="I113" s="962"/>
      <c r="J113" s="8" t="s">
        <v>140</v>
      </c>
      <c r="L113" s="1" t="s">
        <v>590</v>
      </c>
      <c r="M113"/>
      <c r="N113"/>
      <c r="O113"/>
      <c r="P113"/>
      <c r="Q113"/>
      <c r="R113"/>
      <c r="S113"/>
      <c r="T113" s="33"/>
      <c r="U113" s="1"/>
    </row>
    <row r="114" spans="1:24" ht="6" customHeight="1">
      <c r="A114" s="32"/>
      <c r="B114" s="43"/>
      <c r="C114" s="43"/>
      <c r="D114" s="155"/>
      <c r="E114" s="37"/>
      <c r="F114" s="37"/>
      <c r="G114" s="108"/>
      <c r="H114" s="42"/>
      <c r="I114" s="42"/>
      <c r="J114" s="8"/>
      <c r="N114" s="224"/>
      <c r="O114" s="224"/>
      <c r="T114" s="33"/>
      <c r="U114" s="1"/>
    </row>
    <row r="115" spans="1:24" s="3" customFormat="1" ht="18" customHeight="1">
      <c r="A115" s="65"/>
      <c r="B115" s="3" t="s">
        <v>516</v>
      </c>
      <c r="L115" s="1"/>
      <c r="Q115" s="1"/>
      <c r="T115" s="123"/>
      <c r="W115" s="224"/>
      <c r="X115" s="224"/>
    </row>
    <row r="116" spans="1:24" s="3" customFormat="1" ht="6" customHeight="1">
      <c r="A116" s="65"/>
      <c r="T116" s="123"/>
    </row>
    <row r="117" spans="1:24" ht="19.899999999999999" customHeight="1">
      <c r="A117" s="127" t="s">
        <v>314</v>
      </c>
      <c r="B117" s="998" t="str">
        <f>IF(ISBLANK(M8),"",B109)</f>
        <v/>
      </c>
      <c r="C117" s="999"/>
      <c r="D117" s="1182" t="s">
        <v>514</v>
      </c>
      <c r="E117" s="1141"/>
      <c r="F117" s="1142"/>
      <c r="G117" s="547" t="str">
        <f>H113</f>
        <v xml:space="preserve"> </v>
      </c>
      <c r="H117" s="1378" t="s">
        <v>485</v>
      </c>
      <c r="I117" s="1430"/>
      <c r="J117" s="1430"/>
      <c r="K117" s="1430"/>
      <c r="L117" s="4" t="s">
        <v>107</v>
      </c>
      <c r="M117" s="533" t="str">
        <f>IF(ISBLANK(M8)," ",(B117)/(G117-1))</f>
        <v xml:space="preserve"> </v>
      </c>
      <c r="N117" s="3" t="s">
        <v>97</v>
      </c>
      <c r="O117" s="4" t="s">
        <v>107</v>
      </c>
      <c r="P117" s="967" t="str">
        <f>IF(ISBLANK(F8),"",M117*12)</f>
        <v/>
      </c>
      <c r="Q117" s="968"/>
      <c r="R117" s="1" t="s">
        <v>538</v>
      </c>
      <c r="T117" s="33"/>
      <c r="U117" s="1"/>
    </row>
    <row r="118" spans="1:24" ht="6" customHeight="1">
      <c r="A118" s="29"/>
      <c r="B118" s="159"/>
      <c r="C118" s="53"/>
      <c r="D118" s="53"/>
      <c r="E118" s="160"/>
      <c r="F118" s="160"/>
      <c r="G118" s="106"/>
      <c r="H118" s="160"/>
      <c r="I118" s="160"/>
      <c r="J118" s="160"/>
      <c r="K118" s="161"/>
      <c r="L118" s="131"/>
      <c r="M118" s="162"/>
      <c r="N118" s="30"/>
      <c r="O118" s="30"/>
      <c r="P118" s="30"/>
      <c r="Q118" s="30"/>
      <c r="R118" s="30"/>
      <c r="S118" s="30"/>
      <c r="T118" s="31"/>
      <c r="U118" s="1"/>
    </row>
    <row r="119" spans="1:24" s="3" customFormat="1" ht="18" customHeight="1">
      <c r="A119" s="157"/>
      <c r="B119" s="121" t="s">
        <v>1136</v>
      </c>
      <c r="C119" s="121"/>
      <c r="D119" s="121"/>
      <c r="E119" s="121"/>
      <c r="F119" s="121"/>
      <c r="G119" s="121"/>
      <c r="H119" s="121"/>
      <c r="I119" s="121"/>
      <c r="J119" s="121"/>
      <c r="K119" s="121"/>
      <c r="L119" s="121"/>
      <c r="M119" s="121"/>
      <c r="N119" s="121"/>
      <c r="O119" s="121"/>
      <c r="P119" s="121"/>
      <c r="Q119" s="121"/>
      <c r="R119" s="121"/>
      <c r="S119" s="121"/>
      <c r="T119" s="158"/>
    </row>
    <row r="120" spans="1:24" s="3" customFormat="1" ht="6" customHeight="1">
      <c r="A120" s="65"/>
      <c r="T120" s="123"/>
    </row>
    <row r="121" spans="1:24" ht="19.899999999999999" customHeight="1">
      <c r="A121" s="32"/>
      <c r="B121" s="998" t="str">
        <f>IF(ISBLANK(M10)," ",M10-2)</f>
        <v xml:space="preserve"> </v>
      </c>
      <c r="C121" s="999"/>
      <c r="D121" s="4" t="s">
        <v>131</v>
      </c>
      <c r="E121" s="1087" t="str">
        <f>IF(ISBLANK(F10),"",G91)</f>
        <v/>
      </c>
      <c r="F121" s="1088"/>
      <c r="G121" s="1182" t="s">
        <v>483</v>
      </c>
      <c r="H121" s="1142"/>
      <c r="I121" s="967" t="str">
        <f>IF(ISBLANK(M10)," ",B121*E121)</f>
        <v xml:space="preserve"> </v>
      </c>
      <c r="J121" s="968"/>
      <c r="K121" s="3" t="s">
        <v>141</v>
      </c>
      <c r="L121" s="3"/>
      <c r="T121" s="33"/>
      <c r="U121" s="1"/>
    </row>
    <row r="122" spans="1:24" ht="6" customHeight="1">
      <c r="A122" s="32"/>
      <c r="B122" s="35"/>
      <c r="C122" s="35"/>
      <c r="D122" s="108"/>
      <c r="E122" s="37"/>
      <c r="F122" s="37"/>
      <c r="G122" s="108"/>
      <c r="H122" s="108"/>
      <c r="I122" s="43"/>
      <c r="J122" s="43"/>
      <c r="K122" s="156"/>
      <c r="L122" s="3"/>
      <c r="T122" s="33"/>
      <c r="U122" s="1"/>
    </row>
    <row r="123" spans="1:24" s="3" customFormat="1" ht="18" customHeight="1">
      <c r="A123" s="65"/>
      <c r="B123" s="3" t="s">
        <v>689</v>
      </c>
      <c r="L123" s="1056" t="s">
        <v>589</v>
      </c>
      <c r="M123" s="1006"/>
      <c r="N123" s="1006"/>
      <c r="O123" s="1006"/>
      <c r="P123" s="1006"/>
      <c r="Q123" s="1006"/>
      <c r="R123" s="1006"/>
      <c r="S123" s="1006"/>
      <c r="T123" s="1417"/>
    </row>
    <row r="124" spans="1:24" s="3" customFormat="1" ht="11.25" customHeight="1">
      <c r="A124" s="65"/>
      <c r="L124" s="1006"/>
      <c r="M124" s="1006"/>
      <c r="N124" s="1006"/>
      <c r="O124" s="1006"/>
      <c r="P124" s="1006"/>
      <c r="Q124" s="1006"/>
      <c r="R124" s="1006"/>
      <c r="S124" s="1006"/>
      <c r="T124" s="1417"/>
    </row>
    <row r="125" spans="1:24" ht="19.899999999999999" customHeight="1">
      <c r="A125" s="32"/>
      <c r="B125" s="967" t="str">
        <f>I121</f>
        <v xml:space="preserve"> </v>
      </c>
      <c r="C125" s="968"/>
      <c r="D125" s="9" t="s">
        <v>613</v>
      </c>
      <c r="E125" s="1087" t="str">
        <f>O57</f>
        <v xml:space="preserve"> </v>
      </c>
      <c r="F125" s="1088"/>
      <c r="G125" s="4" t="s">
        <v>107</v>
      </c>
      <c r="H125" s="961" t="str">
        <f>IF(ISBLANK(M10)," ",B125/E125)</f>
        <v xml:space="preserve"> </v>
      </c>
      <c r="I125" s="962"/>
      <c r="J125" s="8" t="s">
        <v>140</v>
      </c>
      <c r="L125" s="1" t="s">
        <v>590</v>
      </c>
      <c r="M125"/>
      <c r="N125"/>
      <c r="O125"/>
      <c r="P125"/>
      <c r="Q125"/>
      <c r="R125"/>
      <c r="S125"/>
      <c r="T125" s="33"/>
      <c r="U125" s="1"/>
    </row>
    <row r="126" spans="1:24" ht="6" customHeight="1">
      <c r="A126" s="32"/>
      <c r="B126" s="43"/>
      <c r="C126" s="43"/>
      <c r="D126" s="155"/>
      <c r="E126" s="37"/>
      <c r="F126" s="37"/>
      <c r="G126" s="108"/>
      <c r="H126" s="42"/>
      <c r="I126" s="42"/>
      <c r="J126" s="8"/>
      <c r="N126" s="224"/>
      <c r="O126" s="224"/>
      <c r="T126" s="33"/>
      <c r="U126" s="1"/>
    </row>
    <row r="127" spans="1:24" s="3" customFormat="1" ht="18" customHeight="1">
      <c r="A127" s="65"/>
      <c r="B127" s="3" t="s">
        <v>516</v>
      </c>
      <c r="L127" s="1"/>
      <c r="Q127" s="1"/>
      <c r="T127" s="123"/>
    </row>
    <row r="128" spans="1:24" s="3" customFormat="1" ht="6" customHeight="1">
      <c r="A128" s="65"/>
      <c r="T128" s="123"/>
    </row>
    <row r="129" spans="1:21" ht="19.899999999999999" customHeight="1">
      <c r="A129" s="127" t="s">
        <v>314</v>
      </c>
      <c r="B129" s="998" t="str">
        <f>IF(ISBLANK(M10),"",B121)</f>
        <v/>
      </c>
      <c r="C129" s="999"/>
      <c r="D129" s="1182" t="s">
        <v>514</v>
      </c>
      <c r="E129" s="1141"/>
      <c r="F129" s="1142"/>
      <c r="G129" s="547" t="str">
        <f>H125</f>
        <v xml:space="preserve"> </v>
      </c>
      <c r="H129" s="1378" t="s">
        <v>485</v>
      </c>
      <c r="I129" s="1430"/>
      <c r="J129" s="1430"/>
      <c r="K129" s="1430"/>
      <c r="L129" s="4" t="s">
        <v>107</v>
      </c>
      <c r="M129" s="533" t="str">
        <f>IF(ISBLANK(M10)," ",(B129)/(G129-1))</f>
        <v xml:space="preserve"> </v>
      </c>
      <c r="N129" s="3" t="s">
        <v>97</v>
      </c>
      <c r="O129" s="4" t="s">
        <v>107</v>
      </c>
      <c r="P129" s="967" t="str">
        <f>IF(ISBLANK(F10),"",M129*12)</f>
        <v/>
      </c>
      <c r="Q129" s="968"/>
      <c r="R129" s="1" t="s">
        <v>538</v>
      </c>
      <c r="T129" s="33"/>
      <c r="U129" s="1"/>
    </row>
    <row r="130" spans="1:21" ht="6" customHeight="1">
      <c r="A130" s="29"/>
      <c r="B130" s="159"/>
      <c r="C130" s="53"/>
      <c r="D130" s="53"/>
      <c r="E130" s="160"/>
      <c r="F130" s="160"/>
      <c r="G130" s="106"/>
      <c r="H130" s="160"/>
      <c r="I130" s="160"/>
      <c r="J130" s="160"/>
      <c r="K130" s="161"/>
      <c r="L130" s="131"/>
      <c r="M130" s="162"/>
      <c r="N130" s="30"/>
      <c r="O130" s="30"/>
      <c r="P130" s="30"/>
      <c r="Q130" s="30"/>
      <c r="R130" s="30"/>
      <c r="S130" s="30"/>
      <c r="T130" s="31"/>
      <c r="U130" s="1"/>
    </row>
    <row r="131" spans="1:21" s="3" customFormat="1" ht="18" customHeight="1">
      <c r="A131" s="157"/>
      <c r="B131" s="121" t="s">
        <v>1137</v>
      </c>
      <c r="C131" s="121"/>
      <c r="D131" s="121"/>
      <c r="E131" s="121"/>
      <c r="F131" s="121"/>
      <c r="G131" s="121"/>
      <c r="H131" s="121"/>
      <c r="I131" s="121"/>
      <c r="J131" s="121"/>
      <c r="K131" s="121"/>
      <c r="L131" s="121"/>
      <c r="M131" s="121"/>
      <c r="N131" s="121"/>
      <c r="O131" s="121"/>
      <c r="P131" s="121"/>
      <c r="Q131" s="121"/>
      <c r="R131" s="121"/>
      <c r="S131" s="121"/>
      <c r="T131" s="158"/>
    </row>
    <row r="132" spans="1:21" s="3" customFormat="1" ht="6" customHeight="1">
      <c r="A132" s="65"/>
      <c r="T132" s="123"/>
    </row>
    <row r="133" spans="1:21" ht="19.899999999999999" customHeight="1">
      <c r="A133" s="32"/>
      <c r="B133" s="998" t="str">
        <f>IF(ISBLANK(M12)," ",M12-2)</f>
        <v xml:space="preserve"> </v>
      </c>
      <c r="C133" s="999"/>
      <c r="D133" s="4" t="s">
        <v>131</v>
      </c>
      <c r="E133" s="1087" t="str">
        <f>IF(ISBLANK(F12),"",G91)</f>
        <v/>
      </c>
      <c r="F133" s="1088"/>
      <c r="G133" s="1182" t="s">
        <v>483</v>
      </c>
      <c r="H133" s="1142"/>
      <c r="I133" s="967" t="str">
        <f>IF(ISBLANK(M12)," ",B133*E133)</f>
        <v xml:space="preserve"> </v>
      </c>
      <c r="J133" s="968"/>
      <c r="K133" s="3" t="s">
        <v>141</v>
      </c>
      <c r="L133" s="3"/>
      <c r="T133" s="33"/>
      <c r="U133" s="1"/>
    </row>
    <row r="134" spans="1:21" ht="6" customHeight="1">
      <c r="A134" s="32"/>
      <c r="B134" s="35"/>
      <c r="C134" s="35"/>
      <c r="D134" s="108"/>
      <c r="E134" s="37"/>
      <c r="F134" s="37"/>
      <c r="G134" s="108"/>
      <c r="H134" s="108"/>
      <c r="I134" s="43"/>
      <c r="J134" s="43"/>
      <c r="K134" s="156"/>
      <c r="L134" s="3"/>
      <c r="T134" s="33"/>
      <c r="U134" s="1"/>
    </row>
    <row r="135" spans="1:21" s="3" customFormat="1" ht="18" customHeight="1">
      <c r="A135" s="65"/>
      <c r="B135" s="3" t="s">
        <v>690</v>
      </c>
      <c r="L135" s="1056" t="s">
        <v>589</v>
      </c>
      <c r="M135" s="1006"/>
      <c r="N135" s="1006"/>
      <c r="O135" s="1006"/>
      <c r="P135" s="1006"/>
      <c r="Q135" s="1006"/>
      <c r="R135" s="1006"/>
      <c r="S135" s="1006"/>
      <c r="T135" s="1417"/>
    </row>
    <row r="136" spans="1:21" s="3" customFormat="1" ht="11.25" customHeight="1">
      <c r="A136" s="65"/>
      <c r="L136" s="1006"/>
      <c r="M136" s="1006"/>
      <c r="N136" s="1006"/>
      <c r="O136" s="1006"/>
      <c r="P136" s="1006"/>
      <c r="Q136" s="1006"/>
      <c r="R136" s="1006"/>
      <c r="S136" s="1006"/>
      <c r="T136" s="1417"/>
    </row>
    <row r="137" spans="1:21" ht="19.899999999999999" customHeight="1">
      <c r="A137" s="32"/>
      <c r="B137" s="967" t="str">
        <f>I133</f>
        <v xml:space="preserve"> </v>
      </c>
      <c r="C137" s="968"/>
      <c r="D137" s="9" t="s">
        <v>613</v>
      </c>
      <c r="E137" s="1087" t="str">
        <f>O59</f>
        <v xml:space="preserve"> </v>
      </c>
      <c r="F137" s="1088"/>
      <c r="G137" s="4" t="s">
        <v>107</v>
      </c>
      <c r="H137" s="961" t="str">
        <f>IF(ISBLANK(M12)," ",B137/E137)</f>
        <v xml:space="preserve"> </v>
      </c>
      <c r="I137" s="962"/>
      <c r="J137" s="8" t="s">
        <v>140</v>
      </c>
      <c r="L137" s="1" t="s">
        <v>590</v>
      </c>
      <c r="M137"/>
      <c r="N137"/>
      <c r="O137"/>
      <c r="P137"/>
      <c r="Q137"/>
      <c r="R137"/>
      <c r="S137"/>
      <c r="T137" s="33"/>
      <c r="U137" s="1"/>
    </row>
    <row r="138" spans="1:21" ht="6" customHeight="1">
      <c r="A138" s="32"/>
      <c r="B138" s="43"/>
      <c r="C138" s="43"/>
      <c r="D138" s="155"/>
      <c r="E138" s="37"/>
      <c r="F138" s="37"/>
      <c r="G138" s="108"/>
      <c r="H138" s="42"/>
      <c r="I138" s="42"/>
      <c r="J138" s="8"/>
      <c r="N138" s="224"/>
      <c r="O138" s="224"/>
      <c r="T138" s="33"/>
      <c r="U138" s="1"/>
    </row>
    <row r="139" spans="1:21" s="3" customFormat="1" ht="18" customHeight="1">
      <c r="A139" s="65"/>
      <c r="B139" s="3" t="s">
        <v>516</v>
      </c>
      <c r="L139" s="1"/>
      <c r="Q139" s="1"/>
      <c r="T139" s="123"/>
    </row>
    <row r="140" spans="1:21" s="3" customFormat="1" ht="6" customHeight="1">
      <c r="A140" s="65"/>
      <c r="T140" s="123"/>
    </row>
    <row r="141" spans="1:21" ht="19.899999999999999" customHeight="1">
      <c r="A141" s="127" t="s">
        <v>314</v>
      </c>
      <c r="B141" s="998" t="str">
        <f>IF(ISBLANK(M12),"",B133)</f>
        <v/>
      </c>
      <c r="C141" s="999"/>
      <c r="D141" s="1182" t="s">
        <v>514</v>
      </c>
      <c r="E141" s="1141"/>
      <c r="F141" s="1142"/>
      <c r="G141" s="547" t="str">
        <f>H137</f>
        <v xml:space="preserve"> </v>
      </c>
      <c r="H141" s="1378" t="s">
        <v>485</v>
      </c>
      <c r="I141" s="1430"/>
      <c r="J141" s="1430"/>
      <c r="K141" s="1430"/>
      <c r="L141" s="4" t="s">
        <v>107</v>
      </c>
      <c r="M141" s="533" t="str">
        <f>IF(ISBLANK(M12)," ",(B141)/(G141-1))</f>
        <v xml:space="preserve"> </v>
      </c>
      <c r="N141" s="3" t="s">
        <v>97</v>
      </c>
      <c r="O141" s="4" t="s">
        <v>107</v>
      </c>
      <c r="P141" s="967" t="str">
        <f>IF(ISBLANK(F12),"",M141*12)</f>
        <v/>
      </c>
      <c r="Q141" s="968"/>
      <c r="R141" s="1" t="s">
        <v>538</v>
      </c>
      <c r="T141" s="33"/>
      <c r="U141" s="1"/>
    </row>
    <row r="142" spans="1:21" ht="6" customHeight="1">
      <c r="A142" s="29"/>
      <c r="B142" s="159"/>
      <c r="C142" s="53"/>
      <c r="D142" s="53"/>
      <c r="E142" s="160"/>
      <c r="F142" s="160"/>
      <c r="G142" s="106"/>
      <c r="H142" s="160"/>
      <c r="I142" s="160"/>
      <c r="J142" s="160"/>
      <c r="K142" s="161"/>
      <c r="L142" s="131"/>
      <c r="M142" s="162"/>
      <c r="N142" s="30"/>
      <c r="O142" s="30"/>
      <c r="P142" s="30"/>
      <c r="Q142" s="30"/>
      <c r="R142" s="30"/>
      <c r="S142" s="30"/>
      <c r="T142" s="31"/>
      <c r="U142" s="1"/>
    </row>
    <row r="143" spans="1:21" s="3" customFormat="1" ht="18" customHeight="1">
      <c r="A143" s="157"/>
      <c r="B143" s="121" t="s">
        <v>1138</v>
      </c>
      <c r="C143" s="121"/>
      <c r="D143" s="121"/>
      <c r="E143" s="121"/>
      <c r="F143" s="121"/>
      <c r="G143" s="121"/>
      <c r="H143" s="121"/>
      <c r="I143" s="121"/>
      <c r="J143" s="121"/>
      <c r="K143" s="121"/>
      <c r="L143" s="121"/>
      <c r="M143" s="121"/>
      <c r="N143" s="121"/>
      <c r="O143" s="121"/>
      <c r="P143" s="121"/>
      <c r="Q143" s="121"/>
      <c r="R143" s="121"/>
      <c r="S143" s="121"/>
      <c r="T143" s="158"/>
    </row>
    <row r="144" spans="1:21" s="3" customFormat="1" ht="6" customHeight="1">
      <c r="A144" s="65"/>
      <c r="T144" s="123"/>
    </row>
    <row r="145" spans="1:38" ht="19.899999999999999" customHeight="1">
      <c r="A145" s="32"/>
      <c r="B145" s="998" t="str">
        <f>IF(ISBLANK(M14)," ",M14-2)</f>
        <v xml:space="preserve"> </v>
      </c>
      <c r="C145" s="999"/>
      <c r="D145" s="4" t="s">
        <v>131</v>
      </c>
      <c r="E145" s="1087" t="str">
        <f>IF(ISBLANK(F14),"",G91)</f>
        <v/>
      </c>
      <c r="F145" s="1088"/>
      <c r="G145" s="1182" t="s">
        <v>483</v>
      </c>
      <c r="H145" s="1142"/>
      <c r="I145" s="967" t="str">
        <f>IF(ISBLANK(M14)," ",B145*E145)</f>
        <v xml:space="preserve"> </v>
      </c>
      <c r="J145" s="968"/>
      <c r="K145" s="3" t="s">
        <v>141</v>
      </c>
      <c r="L145" s="3"/>
      <c r="T145" s="33"/>
      <c r="U145" s="1"/>
    </row>
    <row r="146" spans="1:38" ht="6" customHeight="1">
      <c r="A146" s="32"/>
      <c r="B146" s="35"/>
      <c r="C146" s="35"/>
      <c r="D146" s="108"/>
      <c r="E146" s="37"/>
      <c r="F146" s="37"/>
      <c r="G146" s="108"/>
      <c r="H146" s="108"/>
      <c r="I146" s="43"/>
      <c r="J146" s="43"/>
      <c r="K146" s="156"/>
      <c r="L146" s="1056" t="s">
        <v>589</v>
      </c>
      <c r="M146" s="1056"/>
      <c r="N146" s="1056"/>
      <c r="O146" s="1056"/>
      <c r="P146" s="1056"/>
      <c r="Q146" s="1056"/>
      <c r="R146" s="1056"/>
      <c r="S146" s="1056"/>
      <c r="T146" s="1057"/>
      <c r="U146" s="1"/>
    </row>
    <row r="147" spans="1:38" s="3" customFormat="1" ht="18" customHeight="1">
      <c r="A147" s="65"/>
      <c r="B147" s="3" t="s">
        <v>691</v>
      </c>
      <c r="L147" s="1056"/>
      <c r="M147" s="1056"/>
      <c r="N147" s="1056"/>
      <c r="O147" s="1056"/>
      <c r="P147" s="1056"/>
      <c r="Q147" s="1056"/>
      <c r="R147" s="1056"/>
      <c r="S147" s="1056"/>
      <c r="T147" s="1057"/>
      <c r="AI147" s="1"/>
      <c r="AJ147" s="1"/>
      <c r="AK147" s="1"/>
      <c r="AL147" s="1"/>
    </row>
    <row r="148" spans="1:38" s="3" customFormat="1" ht="4.9000000000000004" customHeight="1">
      <c r="A148" s="65"/>
      <c r="L148" s="1056"/>
      <c r="M148" s="1056"/>
      <c r="N148" s="1056"/>
      <c r="O148" s="1056"/>
      <c r="P148" s="1056"/>
      <c r="Q148" s="1056"/>
      <c r="R148" s="1056"/>
      <c r="S148" s="1056"/>
      <c r="T148" s="1057"/>
      <c r="AI148" s="1"/>
      <c r="AJ148" s="1"/>
      <c r="AK148" s="1"/>
      <c r="AL148" s="1"/>
    </row>
    <row r="149" spans="1:38" ht="19.899999999999999" customHeight="1">
      <c r="A149" s="32"/>
      <c r="B149" s="967" t="str">
        <f>I145</f>
        <v xml:space="preserve"> </v>
      </c>
      <c r="C149" s="968"/>
      <c r="D149" s="9" t="s">
        <v>613</v>
      </c>
      <c r="E149" s="1087" t="str">
        <f>O61</f>
        <v xml:space="preserve"> </v>
      </c>
      <c r="F149" s="1088"/>
      <c r="G149" s="4" t="s">
        <v>107</v>
      </c>
      <c r="H149" s="961" t="str">
        <f>IF(ISBLANK(M14)," ",B149/E149)</f>
        <v xml:space="preserve"> </v>
      </c>
      <c r="I149" s="962"/>
      <c r="J149" s="8" t="s">
        <v>140</v>
      </c>
      <c r="L149" s="1" t="s">
        <v>590</v>
      </c>
      <c r="M149"/>
      <c r="N149"/>
      <c r="O149"/>
      <c r="P149"/>
      <c r="Q149"/>
      <c r="R149"/>
      <c r="S149"/>
      <c r="T149" s="33"/>
      <c r="U149" s="1"/>
    </row>
    <row r="150" spans="1:38" ht="6" customHeight="1">
      <c r="A150" s="32"/>
      <c r="B150" s="43"/>
      <c r="C150" s="43"/>
      <c r="D150" s="155"/>
      <c r="E150" s="37"/>
      <c r="F150" s="37"/>
      <c r="G150" s="108"/>
      <c r="H150" s="42"/>
      <c r="I150" s="42"/>
      <c r="J150" s="8"/>
      <c r="N150" s="224"/>
      <c r="O150" s="224"/>
      <c r="T150" s="33"/>
      <c r="U150" s="1"/>
    </row>
    <row r="151" spans="1:38" s="3" customFormat="1" ht="18" customHeight="1">
      <c r="A151" s="65"/>
      <c r="B151" s="3" t="s">
        <v>516</v>
      </c>
      <c r="L151" s="1"/>
      <c r="Q151" s="1"/>
      <c r="T151" s="123"/>
      <c r="AI151" s="1"/>
      <c r="AJ151" s="1"/>
      <c r="AK151" s="1"/>
      <c r="AL151" s="1"/>
    </row>
    <row r="152" spans="1:38" s="3" customFormat="1" ht="6" customHeight="1">
      <c r="A152" s="65"/>
      <c r="T152" s="123"/>
      <c r="AI152" s="1"/>
      <c r="AJ152" s="1"/>
      <c r="AK152" s="1"/>
      <c r="AL152" s="1"/>
    </row>
    <row r="153" spans="1:38" ht="19.899999999999999" customHeight="1">
      <c r="A153" s="127" t="s">
        <v>314</v>
      </c>
      <c r="B153" s="998" t="str">
        <f>IF(ISBLANK(M14),"",B145)</f>
        <v/>
      </c>
      <c r="C153" s="999"/>
      <c r="D153" s="1182" t="s">
        <v>514</v>
      </c>
      <c r="E153" s="1141"/>
      <c r="F153" s="1142"/>
      <c r="G153" s="547" t="str">
        <f>H149</f>
        <v xml:space="preserve"> </v>
      </c>
      <c r="H153" s="1378" t="s">
        <v>485</v>
      </c>
      <c r="I153" s="1430"/>
      <c r="J153" s="1430"/>
      <c r="K153" s="1430"/>
      <c r="L153" s="4" t="s">
        <v>107</v>
      </c>
      <c r="M153" s="533" t="str">
        <f>IF(ISBLANK(M14)," ",(B153)/(G153-1))</f>
        <v xml:space="preserve"> </v>
      </c>
      <c r="N153" s="3" t="s">
        <v>97</v>
      </c>
      <c r="O153" s="4" t="s">
        <v>107</v>
      </c>
      <c r="P153" s="967" t="str">
        <f>IF(ISBLANK(F14),"",M153*12)</f>
        <v/>
      </c>
      <c r="Q153" s="968"/>
      <c r="R153" s="1" t="s">
        <v>538</v>
      </c>
      <c r="S153" s="39"/>
      <c r="T153" s="33"/>
      <c r="U153" s="1"/>
    </row>
    <row r="154" spans="1:38" ht="6" customHeight="1">
      <c r="A154" s="32"/>
      <c r="P154" s="39"/>
      <c r="Q154" s="39"/>
      <c r="R154" s="39"/>
      <c r="S154" s="39"/>
      <c r="T154" s="33"/>
      <c r="U154" s="1"/>
    </row>
    <row r="155" spans="1:38" s="3" customFormat="1" ht="18" customHeight="1">
      <c r="A155" s="157"/>
      <c r="B155" s="121" t="s">
        <v>688</v>
      </c>
      <c r="C155" s="121"/>
      <c r="D155" s="121"/>
      <c r="E155" s="121"/>
      <c r="F155" s="121"/>
      <c r="G155" s="121"/>
      <c r="H155" s="121"/>
      <c r="I155" s="121"/>
      <c r="J155" s="121"/>
      <c r="K155" s="121"/>
      <c r="L155" s="121"/>
      <c r="M155" s="121"/>
      <c r="N155" s="121"/>
      <c r="O155" s="121"/>
      <c r="P155" s="121"/>
      <c r="Q155" s="121"/>
      <c r="R155" s="121"/>
      <c r="S155" s="121"/>
      <c r="T155" s="158"/>
    </row>
    <row r="156" spans="1:38" s="3" customFormat="1" ht="6" customHeight="1">
      <c r="A156" s="65"/>
      <c r="T156" s="123"/>
    </row>
    <row r="157" spans="1:38" ht="19.899999999999999" customHeight="1">
      <c r="A157" s="32"/>
      <c r="B157" s="998" t="str">
        <f>IF(ISBLANK(M16)," ",M16-2)</f>
        <v xml:space="preserve"> </v>
      </c>
      <c r="C157" s="999"/>
      <c r="D157" s="4" t="s">
        <v>131</v>
      </c>
      <c r="E157" s="1087" t="str">
        <f>IF(ISBLANK(F16),"",G91)</f>
        <v/>
      </c>
      <c r="F157" s="1088"/>
      <c r="G157" s="1182" t="s">
        <v>483</v>
      </c>
      <c r="H157" s="1142"/>
      <c r="I157" s="967" t="str">
        <f>IF(ISBLANK(M16)," ",B157*E157)</f>
        <v xml:space="preserve"> </v>
      </c>
      <c r="J157" s="968"/>
      <c r="K157" s="3" t="s">
        <v>141</v>
      </c>
      <c r="L157" s="3"/>
      <c r="T157" s="33"/>
      <c r="U157" s="1"/>
    </row>
    <row r="158" spans="1:38" ht="6" customHeight="1">
      <c r="A158" s="32"/>
      <c r="B158" s="35"/>
      <c r="C158" s="35"/>
      <c r="D158" s="108"/>
      <c r="E158" s="37"/>
      <c r="F158" s="37"/>
      <c r="G158" s="108"/>
      <c r="H158" s="108"/>
      <c r="I158" s="43"/>
      <c r="J158" s="43"/>
      <c r="K158" s="156"/>
      <c r="L158" s="1056" t="s">
        <v>589</v>
      </c>
      <c r="M158" s="1056"/>
      <c r="N158" s="1056"/>
      <c r="O158" s="1056"/>
      <c r="P158" s="1056"/>
      <c r="Q158" s="1056"/>
      <c r="R158" s="1056"/>
      <c r="S158" s="1056"/>
      <c r="T158" s="1057"/>
      <c r="U158" s="1"/>
    </row>
    <row r="159" spans="1:38" s="3" customFormat="1" ht="18" customHeight="1">
      <c r="A159" s="65"/>
      <c r="B159" s="3" t="s">
        <v>692</v>
      </c>
      <c r="L159" s="1056"/>
      <c r="M159" s="1056"/>
      <c r="N159" s="1056"/>
      <c r="O159" s="1056"/>
      <c r="P159" s="1056"/>
      <c r="Q159" s="1056"/>
      <c r="R159" s="1056"/>
      <c r="S159" s="1056"/>
      <c r="T159" s="1057"/>
      <c r="AI159" s="1"/>
      <c r="AJ159" s="1"/>
      <c r="AK159" s="1"/>
      <c r="AL159" s="1"/>
    </row>
    <row r="160" spans="1:38" s="3" customFormat="1" ht="4.9000000000000004" customHeight="1">
      <c r="A160" s="65"/>
      <c r="L160" s="1056"/>
      <c r="M160" s="1056"/>
      <c r="N160" s="1056"/>
      <c r="O160" s="1056"/>
      <c r="P160" s="1056"/>
      <c r="Q160" s="1056"/>
      <c r="R160" s="1056"/>
      <c r="S160" s="1056"/>
      <c r="T160" s="1057"/>
      <c r="AI160" s="1"/>
      <c r="AJ160" s="1"/>
      <c r="AK160" s="1"/>
      <c r="AL160" s="1"/>
    </row>
    <row r="161" spans="1:38" ht="19.899999999999999" customHeight="1">
      <c r="A161" s="32"/>
      <c r="B161" s="967" t="str">
        <f>I157</f>
        <v xml:space="preserve"> </v>
      </c>
      <c r="C161" s="968"/>
      <c r="D161" s="9" t="s">
        <v>613</v>
      </c>
      <c r="E161" s="1087" t="str">
        <f>O63</f>
        <v xml:space="preserve"> </v>
      </c>
      <c r="F161" s="1088"/>
      <c r="G161" s="4" t="s">
        <v>107</v>
      </c>
      <c r="H161" s="961" t="str">
        <f>IF(ISBLANK(M16)," ",B161/E161)</f>
        <v xml:space="preserve"> </v>
      </c>
      <c r="I161" s="962"/>
      <c r="J161" s="8" t="s">
        <v>140</v>
      </c>
      <c r="L161" s="1" t="s">
        <v>590</v>
      </c>
      <c r="M161"/>
      <c r="N161"/>
      <c r="O161"/>
      <c r="P161"/>
      <c r="Q161"/>
      <c r="R161"/>
      <c r="S161"/>
      <c r="T161" s="33"/>
      <c r="U161" s="1"/>
    </row>
    <row r="162" spans="1:38" ht="6" customHeight="1">
      <c r="A162" s="32"/>
      <c r="B162" s="43"/>
      <c r="C162" s="43"/>
      <c r="D162" s="155"/>
      <c r="E162" s="37"/>
      <c r="F162" s="37"/>
      <c r="G162" s="108"/>
      <c r="H162" s="42"/>
      <c r="I162" s="42"/>
      <c r="J162" s="8"/>
      <c r="N162" s="224"/>
      <c r="O162" s="224"/>
      <c r="T162" s="33"/>
      <c r="U162" s="1"/>
    </row>
    <row r="163" spans="1:38" s="3" customFormat="1" ht="18" customHeight="1">
      <c r="A163" s="65"/>
      <c r="B163" s="3" t="s">
        <v>516</v>
      </c>
      <c r="L163" s="1"/>
      <c r="Q163" s="1"/>
      <c r="T163" s="123"/>
      <c r="AI163" s="1"/>
      <c r="AJ163" s="1"/>
      <c r="AK163" s="1"/>
      <c r="AL163" s="1"/>
    </row>
    <row r="164" spans="1:38" s="3" customFormat="1" ht="6" customHeight="1">
      <c r="A164" s="65"/>
      <c r="T164" s="123"/>
      <c r="AI164" s="1"/>
      <c r="AJ164" s="1"/>
      <c r="AK164" s="1"/>
      <c r="AL164" s="1"/>
    </row>
    <row r="165" spans="1:38" ht="19.899999999999999" customHeight="1">
      <c r="A165" s="127" t="s">
        <v>314</v>
      </c>
      <c r="B165" s="998" t="str">
        <f>IF(ISBLANK(M16),"",B157)</f>
        <v/>
      </c>
      <c r="C165" s="999"/>
      <c r="D165" s="1182" t="s">
        <v>514</v>
      </c>
      <c r="E165" s="1141"/>
      <c r="F165" s="1142"/>
      <c r="G165" s="547" t="str">
        <f>H161</f>
        <v xml:space="preserve"> </v>
      </c>
      <c r="H165" s="1378" t="s">
        <v>485</v>
      </c>
      <c r="I165" s="1430"/>
      <c r="J165" s="1430"/>
      <c r="K165" s="1430"/>
      <c r="L165" s="4" t="s">
        <v>107</v>
      </c>
      <c r="M165" s="533" t="str">
        <f>IF(ISBLANK(M16)," ",(B165)/(G165-1))</f>
        <v xml:space="preserve"> </v>
      </c>
      <c r="N165" s="3" t="s">
        <v>97</v>
      </c>
      <c r="O165" s="4" t="s">
        <v>107</v>
      </c>
      <c r="P165" s="967" t="str">
        <f>IF(ISBLANK(F16),"",M165*12)</f>
        <v/>
      </c>
      <c r="Q165" s="968"/>
      <c r="R165" s="1" t="s">
        <v>538</v>
      </c>
      <c r="S165" s="39"/>
      <c r="T165" s="33"/>
      <c r="U165" s="1"/>
    </row>
    <row r="166" spans="1:38" ht="6" customHeight="1">
      <c r="A166" s="32"/>
      <c r="P166" s="39"/>
      <c r="Q166" s="39"/>
      <c r="R166" s="39"/>
      <c r="S166" s="39"/>
      <c r="T166" s="33"/>
      <c r="U166" s="1"/>
    </row>
    <row r="167" spans="1:38" ht="6" customHeight="1">
      <c r="A167" s="67"/>
      <c r="B167" s="50"/>
      <c r="C167" s="50"/>
      <c r="D167" s="50"/>
      <c r="E167" s="50"/>
      <c r="F167" s="50"/>
      <c r="G167" s="50"/>
      <c r="H167" s="50"/>
      <c r="I167" s="50"/>
      <c r="J167" s="50"/>
      <c r="K167" s="50"/>
      <c r="L167" s="50"/>
      <c r="M167" s="50"/>
      <c r="N167" s="50"/>
      <c r="O167" s="50"/>
      <c r="P167" s="136"/>
      <c r="Q167" s="136"/>
      <c r="R167" s="136"/>
      <c r="S167" s="136"/>
      <c r="T167" s="80"/>
      <c r="U167" s="1"/>
    </row>
    <row r="168" spans="1:38" ht="18" customHeight="1">
      <c r="A168" s="124" t="s">
        <v>108</v>
      </c>
      <c r="B168" s="8" t="s">
        <v>487</v>
      </c>
      <c r="P168" s="39"/>
      <c r="Q168" s="39"/>
      <c r="R168" s="39"/>
      <c r="S168" s="39"/>
      <c r="T168" s="33"/>
      <c r="U168" s="1"/>
    </row>
    <row r="169" spans="1:38" ht="6" customHeight="1">
      <c r="A169" s="124"/>
      <c r="B169" s="8"/>
      <c r="P169" s="39"/>
      <c r="Q169" s="39"/>
      <c r="R169" s="39"/>
      <c r="S169" s="39"/>
      <c r="T169" s="33"/>
      <c r="U169" s="1"/>
    </row>
    <row r="170" spans="1:38" ht="19.899999999999999" customHeight="1">
      <c r="A170" s="32"/>
      <c r="B170" s="1053" t="s">
        <v>693</v>
      </c>
      <c r="C170" s="1006"/>
      <c r="D170" s="1006"/>
      <c r="E170" s="1006"/>
      <c r="F170" s="1006"/>
      <c r="G170" s="1006"/>
      <c r="H170" s="1006"/>
      <c r="I170" s="1006"/>
      <c r="J170" s="1006"/>
      <c r="K170" s="1006"/>
      <c r="L170" s="1006"/>
      <c r="M170" s="1006"/>
      <c r="N170" s="1006"/>
      <c r="O170" s="1006"/>
      <c r="P170" s="264"/>
      <c r="Q170" s="8"/>
      <c r="R170" s="10"/>
      <c r="S170" s="39"/>
      <c r="T170" s="33"/>
      <c r="U170" s="1"/>
    </row>
    <row r="171" spans="1:38" ht="6" customHeight="1">
      <c r="A171" s="32"/>
      <c r="B171" s="4"/>
      <c r="C171" s="3"/>
      <c r="F171" s="43"/>
      <c r="G171" s="43"/>
      <c r="P171" s="39"/>
      <c r="Q171" s="39"/>
      <c r="R171" s="39"/>
      <c r="S171" s="39"/>
      <c r="T171" s="33"/>
      <c r="U171" s="1"/>
    </row>
    <row r="172" spans="1:38" ht="19.899999999999999" customHeight="1">
      <c r="A172" s="32"/>
      <c r="B172" s="533" t="str">
        <f>H85</f>
        <v xml:space="preserve"> </v>
      </c>
      <c r="C172" s="263" t="s">
        <v>315</v>
      </c>
      <c r="D172" s="533" t="str">
        <f>I109</f>
        <v xml:space="preserve"> </v>
      </c>
      <c r="E172" s="263" t="s">
        <v>315</v>
      </c>
      <c r="F172" s="533" t="str">
        <f>I121</f>
        <v xml:space="preserve"> </v>
      </c>
      <c r="G172" s="263" t="s">
        <v>315</v>
      </c>
      <c r="H172" s="533" t="str">
        <f>I133</f>
        <v xml:space="preserve"> </v>
      </c>
      <c r="I172" s="263" t="s">
        <v>315</v>
      </c>
      <c r="J172" s="533" t="str">
        <f>I145</f>
        <v xml:space="preserve"> </v>
      </c>
      <c r="K172" s="263" t="s">
        <v>315</v>
      </c>
      <c r="L172" s="533" t="str">
        <f>I157</f>
        <v xml:space="preserve"> </v>
      </c>
      <c r="M172" s="263" t="s">
        <v>107</v>
      </c>
      <c r="N172" s="967" t="str">
        <f>IF(ISBLANK(F67)," ",SUM(B172:L172))</f>
        <v xml:space="preserve"> </v>
      </c>
      <c r="O172" s="968"/>
      <c r="P172" s="1" t="s">
        <v>694</v>
      </c>
      <c r="T172" s="33"/>
      <c r="U172" s="1"/>
    </row>
    <row r="173" spans="1:38" ht="6" customHeight="1">
      <c r="A173" s="32"/>
      <c r="B173" s="4"/>
      <c r="C173" s="3"/>
      <c r="F173" s="43"/>
      <c r="G173" s="43"/>
      <c r="P173" s="37"/>
      <c r="Q173" s="37"/>
      <c r="R173" s="66"/>
      <c r="S173" s="66"/>
      <c r="T173" s="33"/>
      <c r="U173" s="1"/>
      <c r="V173" s="3"/>
      <c r="Y173" s="43"/>
      <c r="Z173" s="43"/>
    </row>
    <row r="174" spans="1:38" ht="15.75" customHeight="1">
      <c r="A174" s="262" t="s">
        <v>110</v>
      </c>
      <c r="B174" s="50" t="s">
        <v>488</v>
      </c>
      <c r="C174" s="50"/>
      <c r="D174" s="50"/>
      <c r="E174" s="50"/>
      <c r="F174" s="50"/>
      <c r="G174" s="50"/>
      <c r="H174" s="50"/>
      <c r="I174" s="50"/>
      <c r="J174" s="50"/>
      <c r="K174" s="50"/>
      <c r="L174" s="50"/>
      <c r="M174" s="50"/>
      <c r="N174" s="50"/>
      <c r="O174" s="50"/>
      <c r="P174" s="50"/>
      <c r="Q174" s="50"/>
      <c r="R174" s="50"/>
      <c r="S174" s="50"/>
      <c r="T174" s="80"/>
      <c r="U174" s="1"/>
    </row>
    <row r="175" spans="1:38" ht="6" customHeight="1">
      <c r="A175" s="112"/>
      <c r="T175" s="33"/>
      <c r="U175" s="1"/>
    </row>
    <row r="176" spans="1:38" ht="15.75" customHeight="1">
      <c r="A176" s="32"/>
      <c r="B176" s="1116" t="s">
        <v>279</v>
      </c>
      <c r="C176" s="1438"/>
      <c r="D176" s="1438"/>
      <c r="E176" s="1438"/>
      <c r="F176" s="1438"/>
      <c r="G176" s="1438"/>
      <c r="H176" s="1438"/>
      <c r="I176" s="1438"/>
      <c r="J176" s="1438"/>
      <c r="K176" s="1438"/>
      <c r="L176" s="1438"/>
      <c r="M176" s="1438"/>
      <c r="N176" s="1438"/>
      <c r="O176" s="1117"/>
      <c r="T176" s="33"/>
      <c r="U176" s="1"/>
    </row>
    <row r="177" spans="1:21" ht="15.75" customHeight="1">
      <c r="A177" s="32"/>
      <c r="B177" s="1118"/>
      <c r="C177" s="1439"/>
      <c r="D177" s="1439"/>
      <c r="E177" s="1439"/>
      <c r="F177" s="1439"/>
      <c r="G177" s="1439"/>
      <c r="H177" s="1439"/>
      <c r="I177" s="1439"/>
      <c r="J177" s="1439"/>
      <c r="K177" s="1439"/>
      <c r="L177" s="1439"/>
      <c r="M177" s="1439"/>
      <c r="N177" s="1439"/>
      <c r="O177" s="1119"/>
      <c r="T177" s="33"/>
      <c r="U177" s="1"/>
    </row>
    <row r="178" spans="1:21" ht="15.75" customHeight="1">
      <c r="A178" s="32"/>
      <c r="B178" s="1426"/>
      <c r="C178" s="1427"/>
      <c r="D178" s="1116" t="s">
        <v>489</v>
      </c>
      <c r="E178" s="1117"/>
      <c r="F178" s="1116" t="s">
        <v>490</v>
      </c>
      <c r="G178" s="1117"/>
      <c r="H178" s="1116" t="s">
        <v>491</v>
      </c>
      <c r="I178" s="1117"/>
      <c r="J178" s="1116" t="s">
        <v>492</v>
      </c>
      <c r="K178" s="1117"/>
      <c r="L178" s="1116" t="s">
        <v>493</v>
      </c>
      <c r="M178" s="1117"/>
      <c r="N178" s="1116" t="s">
        <v>494</v>
      </c>
      <c r="O178" s="1117"/>
      <c r="T178" s="33"/>
      <c r="U178" s="1"/>
    </row>
    <row r="179" spans="1:21" ht="15.75" customHeight="1">
      <c r="A179" s="32"/>
      <c r="B179" s="1138"/>
      <c r="C179" s="1140"/>
      <c r="D179" s="1424"/>
      <c r="E179" s="1425"/>
      <c r="F179" s="1424"/>
      <c r="G179" s="1425"/>
      <c r="H179" s="1424"/>
      <c r="I179" s="1425"/>
      <c r="J179" s="1424"/>
      <c r="K179" s="1425"/>
      <c r="L179" s="1424"/>
      <c r="M179" s="1425"/>
      <c r="N179" s="1424"/>
      <c r="O179" s="1425"/>
      <c r="P179" s="6"/>
      <c r="T179" s="33"/>
      <c r="U179" s="1"/>
    </row>
    <row r="180" spans="1:21" ht="15.75" customHeight="1">
      <c r="A180" s="32"/>
      <c r="B180" s="1428"/>
      <c r="C180" s="1429"/>
      <c r="D180" s="1118"/>
      <c r="E180" s="1119"/>
      <c r="F180" s="1118"/>
      <c r="G180" s="1119"/>
      <c r="H180" s="1118"/>
      <c r="I180" s="1119"/>
      <c r="J180" s="1118"/>
      <c r="K180" s="1119"/>
      <c r="L180" s="1118"/>
      <c r="M180" s="1119"/>
      <c r="N180" s="1118"/>
      <c r="O180" s="1119"/>
      <c r="P180" s="6"/>
      <c r="T180" s="33"/>
      <c r="U180" s="1"/>
    </row>
    <row r="181" spans="1:21" ht="15.75" customHeight="1">
      <c r="A181" s="32"/>
      <c r="B181" s="897"/>
      <c r="C181" s="898"/>
      <c r="D181" s="893"/>
      <c r="E181" s="894"/>
      <c r="F181" s="893"/>
      <c r="G181" s="894"/>
      <c r="H181" s="893"/>
      <c r="I181" s="894"/>
      <c r="J181" s="893"/>
      <c r="K181" s="894"/>
      <c r="L181" s="893"/>
      <c r="M181" s="894"/>
      <c r="N181" s="893" t="s">
        <v>97</v>
      </c>
      <c r="O181" s="894" t="s">
        <v>99</v>
      </c>
      <c r="P181" s="6"/>
      <c r="T181" s="33"/>
      <c r="U181" s="1"/>
    </row>
    <row r="182" spans="1:21" ht="19.899999999999999" customHeight="1">
      <c r="A182" s="32"/>
      <c r="B182" s="1431" t="s">
        <v>321</v>
      </c>
      <c r="C182" s="1431"/>
      <c r="D182" s="1437"/>
      <c r="E182" s="1437"/>
      <c r="F182" s="1115" t="str">
        <f t="shared" ref="F182:F187" si="0">IF(ISBLANK(D182)," ",IF(D182=1,"0.045",IF(D182=1.25,"0.078",IF(D182=1.5,"0.110",IF(D182=2,"0.170",IF(D182=3,"0.380",IF(D182=4,"0.661")))))))</f>
        <v xml:space="preserve"> </v>
      </c>
      <c r="G182" s="1115"/>
      <c r="H182" s="1122" t="str">
        <f>IF(ISBLANK(M6)," ",M6-2)</f>
        <v xml:space="preserve"> </v>
      </c>
      <c r="I182" s="1123"/>
      <c r="J182" s="1435" t="str">
        <f t="shared" ref="J182:J187" si="1">IF(ISBLANK(D182)," ",F182*H182)</f>
        <v xml:space="preserve"> </v>
      </c>
      <c r="K182" s="1436"/>
      <c r="L182" s="1115" t="str">
        <f>IF(ISBLANK(L53)," ",L53)</f>
        <v xml:space="preserve"> </v>
      </c>
      <c r="M182" s="1115"/>
      <c r="N182" s="895" t="str">
        <f>IF(ISBLANK(F67)," ",F67)</f>
        <v xml:space="preserve"> </v>
      </c>
      <c r="O182" s="895" t="str">
        <f t="shared" ref="O182:O187" si="2">IF(ISBLANK(D182), "", N182*12)</f>
        <v/>
      </c>
      <c r="P182" s="1" t="s">
        <v>287</v>
      </c>
      <c r="T182" s="33"/>
      <c r="U182" s="1"/>
    </row>
    <row r="183" spans="1:21" ht="19.899999999999999" customHeight="1">
      <c r="A183" s="32"/>
      <c r="B183" s="1431" t="s">
        <v>322</v>
      </c>
      <c r="C183" s="1431"/>
      <c r="D183" s="1437"/>
      <c r="E183" s="1437"/>
      <c r="F183" s="1115" t="str">
        <f t="shared" si="0"/>
        <v xml:space="preserve"> </v>
      </c>
      <c r="G183" s="1115"/>
      <c r="H183" s="1122" t="str">
        <f>IF(ISBLANK(M8)," ",M8-2)</f>
        <v xml:space="preserve"> </v>
      </c>
      <c r="I183" s="1123"/>
      <c r="J183" s="1435" t="str">
        <f t="shared" si="1"/>
        <v xml:space="preserve"> </v>
      </c>
      <c r="K183" s="1436"/>
      <c r="L183" s="1115" t="str">
        <f>IF(ISBLANK(L55)," ",L55)</f>
        <v xml:space="preserve"> </v>
      </c>
      <c r="M183" s="1115"/>
      <c r="N183" s="895" t="str">
        <f>IF(ISBLANK(M117)," ",M117)</f>
        <v xml:space="preserve"> </v>
      </c>
      <c r="O183" s="895" t="str">
        <f t="shared" si="2"/>
        <v/>
      </c>
      <c r="T183" s="33"/>
      <c r="U183" s="1"/>
    </row>
    <row r="184" spans="1:21" ht="19.899999999999999" customHeight="1">
      <c r="A184" s="32"/>
      <c r="B184" s="1431" t="s">
        <v>323</v>
      </c>
      <c r="C184" s="1431"/>
      <c r="D184" s="1437"/>
      <c r="E184" s="1437"/>
      <c r="F184" s="1115" t="str">
        <f t="shared" si="0"/>
        <v xml:space="preserve"> </v>
      </c>
      <c r="G184" s="1115"/>
      <c r="H184" s="1122" t="str">
        <f>IF(ISBLANK(M10)," ",M10-2)</f>
        <v xml:space="preserve"> </v>
      </c>
      <c r="I184" s="1123"/>
      <c r="J184" s="1435" t="str">
        <f t="shared" si="1"/>
        <v xml:space="preserve"> </v>
      </c>
      <c r="K184" s="1436"/>
      <c r="L184" s="1115" t="str">
        <f>IF(ISBLANK(L57)," ",L57)</f>
        <v xml:space="preserve"> </v>
      </c>
      <c r="M184" s="1115"/>
      <c r="N184" s="895" t="str">
        <f>IF(ISBLANK(M129)," ",M129)</f>
        <v xml:space="preserve"> </v>
      </c>
      <c r="O184" s="895" t="str">
        <f t="shared" si="2"/>
        <v/>
      </c>
      <c r="Q184" s="39"/>
      <c r="R184" s="39"/>
      <c r="T184" s="33"/>
      <c r="U184" s="1"/>
    </row>
    <row r="185" spans="1:21" ht="19.899999999999999" customHeight="1">
      <c r="A185" s="32"/>
      <c r="B185" s="1431" t="s">
        <v>324</v>
      </c>
      <c r="C185" s="1431"/>
      <c r="D185" s="1437"/>
      <c r="E185" s="1437"/>
      <c r="F185" s="1115" t="str">
        <f t="shared" si="0"/>
        <v xml:space="preserve"> </v>
      </c>
      <c r="G185" s="1115"/>
      <c r="H185" s="1122" t="str">
        <f>IF(ISBLANK(M12)," ",M12-2)</f>
        <v xml:space="preserve"> </v>
      </c>
      <c r="I185" s="1123"/>
      <c r="J185" s="1435" t="str">
        <f t="shared" si="1"/>
        <v xml:space="preserve"> </v>
      </c>
      <c r="K185" s="1436"/>
      <c r="L185" s="1115" t="str">
        <f>IF(ISBLANK(L59)," ",L59)</f>
        <v xml:space="preserve"> </v>
      </c>
      <c r="M185" s="1115"/>
      <c r="N185" s="895" t="str">
        <f>IF(ISBLANK(M141)," ",M141)</f>
        <v xml:space="preserve"> </v>
      </c>
      <c r="O185" s="895" t="str">
        <f t="shared" si="2"/>
        <v/>
      </c>
      <c r="Q185" s="39"/>
      <c r="R185" s="39"/>
      <c r="T185" s="33"/>
      <c r="U185" s="1"/>
    </row>
    <row r="186" spans="1:21" ht="19.899999999999999" customHeight="1">
      <c r="A186" s="32"/>
      <c r="B186" s="1431" t="s">
        <v>325</v>
      </c>
      <c r="C186" s="1431"/>
      <c r="D186" s="1437"/>
      <c r="E186" s="1437"/>
      <c r="F186" s="1115" t="str">
        <f t="shared" si="0"/>
        <v xml:space="preserve"> </v>
      </c>
      <c r="G186" s="1115"/>
      <c r="H186" s="1122" t="str">
        <f>IF(ISBLANK(M14)," ",M14-2)</f>
        <v xml:space="preserve"> </v>
      </c>
      <c r="I186" s="1123"/>
      <c r="J186" s="1435" t="str">
        <f t="shared" si="1"/>
        <v xml:space="preserve"> </v>
      </c>
      <c r="K186" s="1436"/>
      <c r="L186" s="1115" t="str">
        <f>IF(ISBLANK(L61)," ",L61)</f>
        <v xml:space="preserve"> </v>
      </c>
      <c r="M186" s="1115"/>
      <c r="N186" s="895" t="str">
        <f>IF(ISBLANK(M153)," ",M153)</f>
        <v xml:space="preserve"> </v>
      </c>
      <c r="O186" s="895" t="str">
        <f t="shared" si="2"/>
        <v/>
      </c>
      <c r="T186" s="33"/>
      <c r="U186" s="1"/>
    </row>
    <row r="187" spans="1:21" ht="19.899999999999999" customHeight="1">
      <c r="A187" s="32"/>
      <c r="B187" s="1431" t="s">
        <v>686</v>
      </c>
      <c r="C187" s="1431"/>
      <c r="D187" s="1437"/>
      <c r="E187" s="1437"/>
      <c r="F187" s="1115" t="str">
        <f t="shared" si="0"/>
        <v xml:space="preserve"> </v>
      </c>
      <c r="G187" s="1115"/>
      <c r="H187" s="1122" t="str">
        <f>IF(ISBLANK(M16)," ",M16-2)</f>
        <v xml:space="preserve"> </v>
      </c>
      <c r="I187" s="1123"/>
      <c r="J187" s="1435" t="str">
        <f t="shared" si="1"/>
        <v xml:space="preserve"> </v>
      </c>
      <c r="K187" s="1436"/>
      <c r="L187" s="1115" t="str">
        <f>IF(ISBLANK(L63)," ",L63)</f>
        <v xml:space="preserve"> </v>
      </c>
      <c r="M187" s="1115"/>
      <c r="N187" s="895" t="str">
        <f>IF(ISBLANK(M165)," ",M165)</f>
        <v xml:space="preserve"> </v>
      </c>
      <c r="O187" s="895" t="str">
        <f t="shared" si="2"/>
        <v/>
      </c>
      <c r="P187" s="1" t="s">
        <v>288</v>
      </c>
      <c r="T187" s="33"/>
      <c r="U187" s="1"/>
    </row>
    <row r="188" spans="1:21" ht="19.899999999999999" customHeight="1">
      <c r="A188" s="32"/>
      <c r="E188" s="1450" t="s">
        <v>495</v>
      </c>
      <c r="F188" s="1451"/>
      <c r="G188" s="1451"/>
      <c r="H188" s="1451"/>
      <c r="I188" s="1451"/>
      <c r="J188" s="1452"/>
      <c r="K188" s="1458" t="str">
        <f>IF(ISBLANK(D182)," ",SUM(J182:K187))</f>
        <v xml:space="preserve"> </v>
      </c>
      <c r="L188" s="1459"/>
      <c r="M188" s="1460"/>
      <c r="S188" s="37"/>
      <c r="T188" s="163"/>
      <c r="U188" s="1"/>
    </row>
    <row r="189" spans="1:21" ht="19.899999999999999" customHeight="1">
      <c r="A189" s="1432" t="s">
        <v>733</v>
      </c>
      <c r="B189" s="1433"/>
      <c r="C189" s="1433"/>
      <c r="D189" s="1433"/>
      <c r="E189" s="1433"/>
      <c r="F189" s="1433"/>
      <c r="G189" s="1433"/>
      <c r="H189" s="1433"/>
      <c r="I189" s="1433"/>
      <c r="J189" s="1434"/>
      <c r="K189" s="1455" t="str">
        <f>IF(ISBLANK(D182)," ",K188*4)</f>
        <v xml:space="preserve"> </v>
      </c>
      <c r="L189" s="1456"/>
      <c r="M189" s="1457"/>
      <c r="S189" s="37"/>
      <c r="T189" s="163"/>
      <c r="U189" s="1"/>
    </row>
    <row r="190" spans="1:21" ht="19.899999999999999" customHeight="1">
      <c r="A190" s="1432" t="s">
        <v>1275</v>
      </c>
      <c r="B190" s="1433"/>
      <c r="C190" s="1433"/>
      <c r="D190" s="1433"/>
      <c r="E190" s="1433"/>
      <c r="F190" s="1433"/>
      <c r="G190" s="1433"/>
      <c r="H190" s="1433"/>
      <c r="I190" s="1433"/>
      <c r="J190" s="1434"/>
      <c r="K190" s="1449" t="str">
        <f>IF(ISBLANK(D182)," ",'Design Summary'!D9*0.25)</f>
        <v xml:space="preserve"> </v>
      </c>
      <c r="L190" s="1449"/>
      <c r="M190" s="1449"/>
      <c r="S190" s="37"/>
      <c r="T190" s="163"/>
      <c r="U190" s="1"/>
    </row>
    <row r="191" spans="1:21" ht="24" customHeight="1">
      <c r="A191" s="408" t="s">
        <v>297</v>
      </c>
      <c r="B191" s="409"/>
      <c r="C191" s="409"/>
      <c r="D191" s="409"/>
      <c r="E191" s="409"/>
      <c r="F191" s="409"/>
      <c r="G191" s="409"/>
      <c r="H191" s="409"/>
      <c r="I191" s="409"/>
      <c r="J191" s="409"/>
      <c r="K191" s="409"/>
      <c r="L191" s="409"/>
      <c r="M191" s="409"/>
      <c r="N191" s="30"/>
      <c r="O191" s="30"/>
      <c r="P191" s="30"/>
      <c r="Q191" s="30"/>
      <c r="R191" s="30"/>
      <c r="S191" s="30"/>
      <c r="T191" s="31"/>
      <c r="U191" s="1"/>
    </row>
    <row r="192" spans="1:21" ht="24" customHeight="1">
      <c r="A192" s="1440"/>
      <c r="B192" s="1441"/>
      <c r="C192" s="1441"/>
      <c r="D192" s="1441"/>
      <c r="E192" s="1441"/>
      <c r="F192" s="1441"/>
      <c r="G192" s="1441"/>
      <c r="H192" s="1441"/>
      <c r="I192" s="1441"/>
      <c r="J192" s="1441"/>
      <c r="K192" s="1441"/>
      <c r="L192" s="1441"/>
      <c r="M192" s="1441"/>
      <c r="N192" s="1441"/>
      <c r="O192" s="1441"/>
      <c r="P192" s="1441"/>
      <c r="Q192" s="1441"/>
      <c r="R192" s="1441"/>
      <c r="S192" s="1441"/>
      <c r="T192" s="1442"/>
      <c r="U192" s="1"/>
    </row>
    <row r="193" spans="1:21" ht="24" customHeight="1">
      <c r="A193" s="1443"/>
      <c r="B193" s="1444"/>
      <c r="C193" s="1444"/>
      <c r="D193" s="1444"/>
      <c r="E193" s="1444"/>
      <c r="F193" s="1444"/>
      <c r="G193" s="1444"/>
      <c r="H193" s="1444"/>
      <c r="I193" s="1444"/>
      <c r="J193" s="1444"/>
      <c r="K193" s="1444"/>
      <c r="L193" s="1444"/>
      <c r="M193" s="1444"/>
      <c r="N193" s="1444"/>
      <c r="O193" s="1444"/>
      <c r="P193" s="1444"/>
      <c r="Q193" s="1444"/>
      <c r="R193" s="1444"/>
      <c r="S193" s="1444"/>
      <c r="T193" s="1445"/>
      <c r="U193" s="1"/>
    </row>
    <row r="194" spans="1:21" ht="24" customHeight="1">
      <c r="A194" s="1443"/>
      <c r="B194" s="1444"/>
      <c r="C194" s="1444"/>
      <c r="D194" s="1444"/>
      <c r="E194" s="1444"/>
      <c r="F194" s="1444"/>
      <c r="G194" s="1444"/>
      <c r="H194" s="1444"/>
      <c r="I194" s="1444"/>
      <c r="J194" s="1444"/>
      <c r="K194" s="1444"/>
      <c r="L194" s="1444"/>
      <c r="M194" s="1444"/>
      <c r="N194" s="1444"/>
      <c r="O194" s="1444"/>
      <c r="P194" s="1444"/>
      <c r="Q194" s="1444"/>
      <c r="R194" s="1444"/>
      <c r="S194" s="1444"/>
      <c r="T194" s="1445"/>
    </row>
    <row r="195" spans="1:21" ht="24" customHeight="1">
      <c r="A195" s="1443"/>
      <c r="B195" s="1444"/>
      <c r="C195" s="1444"/>
      <c r="D195" s="1444"/>
      <c r="E195" s="1444"/>
      <c r="F195" s="1444"/>
      <c r="G195" s="1444"/>
      <c r="H195" s="1444"/>
      <c r="I195" s="1444"/>
      <c r="J195" s="1444"/>
      <c r="K195" s="1444"/>
      <c r="L195" s="1444"/>
      <c r="M195" s="1444"/>
      <c r="N195" s="1444"/>
      <c r="O195" s="1444"/>
      <c r="P195" s="1444"/>
      <c r="Q195" s="1444"/>
      <c r="R195" s="1444"/>
      <c r="S195" s="1444"/>
      <c r="T195" s="1445"/>
    </row>
    <row r="196" spans="1:21" ht="24" customHeight="1">
      <c r="A196" s="1446"/>
      <c r="B196" s="1447"/>
      <c r="C196" s="1447"/>
      <c r="D196" s="1447"/>
      <c r="E196" s="1447"/>
      <c r="F196" s="1447"/>
      <c r="G196" s="1447"/>
      <c r="H196" s="1447"/>
      <c r="I196" s="1447"/>
      <c r="J196" s="1447"/>
      <c r="K196" s="1447"/>
      <c r="L196" s="1447"/>
      <c r="M196" s="1447"/>
      <c r="N196" s="1447"/>
      <c r="O196" s="1447"/>
      <c r="P196" s="1447"/>
      <c r="Q196" s="1447"/>
      <c r="R196" s="1447"/>
      <c r="S196" s="1447"/>
      <c r="T196" s="1448"/>
    </row>
  </sheetData>
  <sheetProtection sheet="1" objects="1" scenarios="1"/>
  <customSheetViews>
    <customSheetView guid="{3320ADAB-1745-4CE0-B739-BF2E8269138B}" showGridLines="0" showRuler="0">
      <selection activeCell="M94" sqref="M94"/>
      <rowBreaks count="1" manualBreakCount="1">
        <brk id="67" max="16383" man="1"/>
      </rowBreaks>
      <pageMargins left="0.4" right="0.4" top="0.4" bottom="0.4" header="0.5" footer="0.5"/>
      <pageSetup scale="59" fitToHeight="2" orientation="portrait" r:id="rId1"/>
      <headerFooter alignWithMargins="0"/>
    </customSheetView>
    <customSheetView guid="{D1431318-1DB8-4C45-813B-5A8065DFC797}" showPageBreaks="1" showGridLines="0" zeroValues="0" printArea="1" view="pageBreakPreview">
      <selection activeCell="V130" sqref="V130"/>
      <rowBreaks count="2" manualBreakCount="2">
        <brk id="64" max="19" man="1"/>
        <brk id="130" max="19" man="1"/>
      </rowBreaks>
      <pageMargins left="0.4" right="0.4" top="0.4" bottom="0.4" header="0.5" footer="0.5"/>
      <printOptions horizontalCentered="1"/>
      <pageSetup scale="71" fitToHeight="4" orientation="portrait" blackAndWhite="1" r:id="rId2"/>
      <headerFooter alignWithMargins="0"/>
    </customSheetView>
  </customSheetViews>
  <mergeCells count="211">
    <mergeCell ref="D1:O1"/>
    <mergeCell ref="L111:T112"/>
    <mergeCell ref="H85:I85"/>
    <mergeCell ref="E121:F121"/>
    <mergeCell ref="H137:I137"/>
    <mergeCell ref="H113:I113"/>
    <mergeCell ref="G91:H91"/>
    <mergeCell ref="P117:Q117"/>
    <mergeCell ref="S3:T4"/>
    <mergeCell ref="I133:J133"/>
    <mergeCell ref="E113:F113"/>
    <mergeCell ref="F10:G10"/>
    <mergeCell ref="G81:H81"/>
    <mergeCell ref="D81:F81"/>
    <mergeCell ref="B73:L75"/>
    <mergeCell ref="L19:M19"/>
    <mergeCell ref="J67:K67"/>
    <mergeCell ref="D44:E44"/>
    <mergeCell ref="H53:K53"/>
    <mergeCell ref="L55:M55"/>
    <mergeCell ref="N44:O44"/>
    <mergeCell ref="J46:K46"/>
    <mergeCell ref="N46:O46"/>
    <mergeCell ref="G44:H44"/>
    <mergeCell ref="J186:K186"/>
    <mergeCell ref="K189:M189"/>
    <mergeCell ref="K188:M188"/>
    <mergeCell ref="D187:E187"/>
    <mergeCell ref="H185:I185"/>
    <mergeCell ref="B91:C91"/>
    <mergeCell ref="F187:G187"/>
    <mergeCell ref="B153:C153"/>
    <mergeCell ref="H129:K129"/>
    <mergeCell ref="H101:I101"/>
    <mergeCell ref="D117:F117"/>
    <mergeCell ref="G121:H121"/>
    <mergeCell ref="B149:C149"/>
    <mergeCell ref="J187:K187"/>
    <mergeCell ref="B185:C185"/>
    <mergeCell ref="H149:I149"/>
    <mergeCell ref="I157:J157"/>
    <mergeCell ref="E125:F125"/>
    <mergeCell ref="F6:G6"/>
    <mergeCell ref="O59:P59"/>
    <mergeCell ref="F55:G55"/>
    <mergeCell ref="H55:K55"/>
    <mergeCell ref="N42:O42"/>
    <mergeCell ref="M14:N14"/>
    <mergeCell ref="M12:N12"/>
    <mergeCell ref="G42:H42"/>
    <mergeCell ref="F57:G57"/>
    <mergeCell ref="J44:K44"/>
    <mergeCell ref="O57:P57"/>
    <mergeCell ref="F53:G53"/>
    <mergeCell ref="N36:O36"/>
    <mergeCell ref="G36:H36"/>
    <mergeCell ref="M6:N6"/>
    <mergeCell ref="M8:N8"/>
    <mergeCell ref="F8:G8"/>
    <mergeCell ref="F16:G16"/>
    <mergeCell ref="M16:N16"/>
    <mergeCell ref="F59:G59"/>
    <mergeCell ref="O53:P53"/>
    <mergeCell ref="H57:K57"/>
    <mergeCell ref="B49:L50"/>
    <mergeCell ref="G46:H46"/>
    <mergeCell ref="M50:S51"/>
    <mergeCell ref="L63:M63"/>
    <mergeCell ref="B137:C137"/>
    <mergeCell ref="B141:C141"/>
    <mergeCell ref="D153:F153"/>
    <mergeCell ref="H153:K153"/>
    <mergeCell ref="G145:H145"/>
    <mergeCell ref="B145:C145"/>
    <mergeCell ref="E145:F145"/>
    <mergeCell ref="E85:F85"/>
    <mergeCell ref="P153:Q153"/>
    <mergeCell ref="O63:P63"/>
    <mergeCell ref="B109:C109"/>
    <mergeCell ref="E133:F133"/>
    <mergeCell ref="L53:M53"/>
    <mergeCell ref="H117:K117"/>
    <mergeCell ref="I109:J109"/>
    <mergeCell ref="P141:Q141"/>
    <mergeCell ref="I145:J145"/>
    <mergeCell ref="L135:T136"/>
    <mergeCell ref="D141:F141"/>
    <mergeCell ref="E137:F137"/>
    <mergeCell ref="O61:P61"/>
    <mergeCell ref="B87:N88"/>
    <mergeCell ref="A192:T196"/>
    <mergeCell ref="F182:G182"/>
    <mergeCell ref="L187:M187"/>
    <mergeCell ref="D182:E182"/>
    <mergeCell ref="B187:C187"/>
    <mergeCell ref="H187:I187"/>
    <mergeCell ref="B183:C183"/>
    <mergeCell ref="L186:M186"/>
    <mergeCell ref="F186:G186"/>
    <mergeCell ref="L183:M183"/>
    <mergeCell ref="D186:E186"/>
    <mergeCell ref="D185:E185"/>
    <mergeCell ref="H184:I184"/>
    <mergeCell ref="D184:E184"/>
    <mergeCell ref="F184:G184"/>
    <mergeCell ref="B186:C186"/>
    <mergeCell ref="F185:G185"/>
    <mergeCell ref="H186:I186"/>
    <mergeCell ref="J184:K184"/>
    <mergeCell ref="J183:K183"/>
    <mergeCell ref="A190:J190"/>
    <mergeCell ref="K190:M190"/>
    <mergeCell ref="E188:J188"/>
    <mergeCell ref="F183:G183"/>
    <mergeCell ref="N172:O172"/>
    <mergeCell ref="B184:C184"/>
    <mergeCell ref="B182:C182"/>
    <mergeCell ref="A189:J189"/>
    <mergeCell ref="H183:I183"/>
    <mergeCell ref="L185:M185"/>
    <mergeCell ref="E161:F161"/>
    <mergeCell ref="H178:I180"/>
    <mergeCell ref="F178:G180"/>
    <mergeCell ref="B161:C161"/>
    <mergeCell ref="L184:M184"/>
    <mergeCell ref="J185:K185"/>
    <mergeCell ref="D183:E183"/>
    <mergeCell ref="J182:K182"/>
    <mergeCell ref="L178:M180"/>
    <mergeCell ref="J178:K180"/>
    <mergeCell ref="H161:I161"/>
    <mergeCell ref="B165:C165"/>
    <mergeCell ref="H182:I182"/>
    <mergeCell ref="L182:M182"/>
    <mergeCell ref="D165:F165"/>
    <mergeCell ref="H165:K165"/>
    <mergeCell ref="B176:O177"/>
    <mergeCell ref="D178:E180"/>
    <mergeCell ref="P165:Q165"/>
    <mergeCell ref="B157:C157"/>
    <mergeCell ref="E157:F157"/>
    <mergeCell ref="E149:F149"/>
    <mergeCell ref="N178:O180"/>
    <mergeCell ref="B178:C180"/>
    <mergeCell ref="L59:M59"/>
    <mergeCell ref="L146:T148"/>
    <mergeCell ref="P129:Q129"/>
    <mergeCell ref="B170:O170"/>
    <mergeCell ref="H125:I125"/>
    <mergeCell ref="H141:K141"/>
    <mergeCell ref="B129:C129"/>
    <mergeCell ref="G157:H157"/>
    <mergeCell ref="L158:T160"/>
    <mergeCell ref="F61:G61"/>
    <mergeCell ref="B71:C71"/>
    <mergeCell ref="B76:C76"/>
    <mergeCell ref="B113:C113"/>
    <mergeCell ref="D129:F129"/>
    <mergeCell ref="B125:C125"/>
    <mergeCell ref="B121:C121"/>
    <mergeCell ref="E76:F76"/>
    <mergeCell ref="H76:I76"/>
    <mergeCell ref="K2:L2"/>
    <mergeCell ref="H61:K61"/>
    <mergeCell ref="I6:L6"/>
    <mergeCell ref="G109:H109"/>
    <mergeCell ref="B85:C85"/>
    <mergeCell ref="L61:M61"/>
    <mergeCell ref="J42:K42"/>
    <mergeCell ref="J40:K40"/>
    <mergeCell ref="G40:H40"/>
    <mergeCell ref="J38:K38"/>
    <mergeCell ref="B81:C81"/>
    <mergeCell ref="I2:J2"/>
    <mergeCell ref="D42:E42"/>
    <mergeCell ref="G38:H38"/>
    <mergeCell ref="D38:E38"/>
    <mergeCell ref="F12:G12"/>
    <mergeCell ref="D46:E46"/>
    <mergeCell ref="M10:N10"/>
    <mergeCell ref="M34:P34"/>
    <mergeCell ref="J34:K34"/>
    <mergeCell ref="G34:H34"/>
    <mergeCell ref="F14:G14"/>
    <mergeCell ref="H28:I28"/>
    <mergeCell ref="B24:R25"/>
    <mergeCell ref="O19:P19"/>
    <mergeCell ref="R19:S19"/>
    <mergeCell ref="G21:H21"/>
    <mergeCell ref="C34:F34"/>
    <mergeCell ref="B28:C28"/>
    <mergeCell ref="E28:F28"/>
    <mergeCell ref="N38:O38"/>
    <mergeCell ref="D40:E40"/>
    <mergeCell ref="J36:K36"/>
    <mergeCell ref="D36:E36"/>
    <mergeCell ref="N40:O40"/>
    <mergeCell ref="O55:P55"/>
    <mergeCell ref="L123:T124"/>
    <mergeCell ref="B133:C133"/>
    <mergeCell ref="B117:C117"/>
    <mergeCell ref="I121:J121"/>
    <mergeCell ref="G133:H133"/>
    <mergeCell ref="L57:M57"/>
    <mergeCell ref="F63:G63"/>
    <mergeCell ref="H63:K63"/>
    <mergeCell ref="E109:F109"/>
    <mergeCell ref="F71:G71"/>
    <mergeCell ref="F67:G67"/>
    <mergeCell ref="H59:K59"/>
    <mergeCell ref="D71:E71"/>
  </mergeCells>
  <phoneticPr fontId="17" type="noConversion"/>
  <dataValidations count="6">
    <dataValidation type="list" allowBlank="1" showInputMessage="1" showErrorMessage="1" sqref="D182:E187" xr:uid="{00000000-0002-0000-0B00-000000000000}">
      <formula1>PipeDia</formula1>
    </dataValidation>
    <dataValidation type="list" allowBlank="1" showInputMessage="1" showErrorMessage="1" sqref="F68 F72" xr:uid="{00000000-0002-0000-0B00-000001000000}">
      <formula1>$AN$73:$AN$82</formula1>
    </dataValidation>
    <dataValidation type="decimal" allowBlank="1" showInputMessage="1" showErrorMessage="1" prompt="Min Spacing=2ft; Max Spacing=3ft.  Recommendation: 2 feet" sqref="F67:G67" xr:uid="{00000000-0002-0000-0B00-000002000000}">
      <formula1>2</formula1>
      <formula2>3</formula2>
    </dataValidation>
    <dataValidation type="list" allowBlank="1" showInputMessage="1" showErrorMessage="1" sqref="L54:M54 L62:M62 L60:M60 L58:M58 L56:M56" xr:uid="{00000000-0002-0000-0B00-000003000000}">
      <formula1>$AL$6:$AL$9</formula1>
    </dataValidation>
    <dataValidation type="list" allowBlank="1" showInputMessage="1" showErrorMessage="1" sqref="L53:M53 L55:M55 L57:M57 L59:M59 L61:M61 L63:M63" xr:uid="{00000000-0002-0000-0B00-000004000000}">
      <formula1>PerfDia</formula1>
    </dataValidation>
    <dataValidation type="list" allowBlank="1" showInputMessage="1" showErrorMessage="1" sqref="G21:H21" xr:uid="{00000000-0002-0000-0B00-000005000000}">
      <formula1>MinHead</formula1>
    </dataValidation>
  </dataValidations>
  <printOptions horizontalCentered="1"/>
  <pageMargins left="0.4" right="0.4" top="0.4" bottom="0.4" header="0.5" footer="0.5"/>
  <pageSetup scale="71" fitToHeight="4" orientation="portrait" blackAndWhite="1" r:id="rId3"/>
  <headerFooter alignWithMargins="0"/>
  <rowBreaks count="2" manualBreakCount="2">
    <brk id="64" max="19" man="1"/>
    <brk id="130" max="19" man="1"/>
  </rowBreaks>
  <ignoredErrors>
    <ignoredError sqref="A4 A18 A21 A26 A30 A48" numberStoredAsText="1"/>
  </ignoredErrors>
  <drawing r:id="rId4"/>
  <legacyDrawing r:id="rId5"/>
  <oleObjects>
    <mc:AlternateContent xmlns:mc="http://schemas.openxmlformats.org/markup-compatibility/2006">
      <mc:Choice Requires="x14">
        <oleObject progId="Equation.3" shapeId="4106" r:id="rId6">
          <objectPr defaultSize="0" autoPict="0" r:id="rId7">
            <anchor moveWithCells="1">
              <from>
                <xdr:col>9</xdr:col>
                <xdr:colOff>28575</xdr:colOff>
                <xdr:row>31</xdr:row>
                <xdr:rowOff>171450</xdr:rowOff>
              </from>
              <to>
                <xdr:col>13</xdr:col>
                <xdr:colOff>85725</xdr:colOff>
                <xdr:row>33</xdr:row>
                <xdr:rowOff>238125</xdr:rowOff>
              </to>
            </anchor>
          </objectPr>
        </oleObject>
      </mc:Choice>
      <mc:Fallback>
        <oleObject progId="Equation.3" shapeId="4106" r:id="rId6"/>
      </mc:Fallback>
    </mc:AlternateContent>
  </oleObjects>
  <mc:AlternateContent xmlns:mc="http://schemas.openxmlformats.org/markup-compatibility/2006">
    <mc:Choice Requires="x14">
      <controls>
        <mc:AlternateContent xmlns:mc="http://schemas.openxmlformats.org/markup-compatibility/2006">
          <mc:Choice Requires="x14">
            <control shapeId="4422" r:id="rId8" name="Check Box 326">
              <controlPr defaultSize="0" autoFill="0" autoLine="0" autoPict="0">
                <anchor moveWithCells="1">
                  <from>
                    <xdr:col>8</xdr:col>
                    <xdr:colOff>228600</xdr:colOff>
                    <xdr:row>77</xdr:row>
                    <xdr:rowOff>47625</xdr:rowOff>
                  </from>
                  <to>
                    <xdr:col>9</xdr:col>
                    <xdr:colOff>400050</xdr:colOff>
                    <xdr:row>77</xdr:row>
                    <xdr:rowOff>209550</xdr:rowOff>
                  </to>
                </anchor>
              </controlPr>
            </control>
          </mc:Choice>
        </mc:AlternateContent>
        <mc:AlternateContent xmlns:mc="http://schemas.openxmlformats.org/markup-compatibility/2006">
          <mc:Choice Requires="x14">
            <control shapeId="4423" r:id="rId9" name="Check Box 327">
              <controlPr defaultSize="0" autoFill="0" autoLine="0" autoPict="0">
                <anchor moveWithCells="1">
                  <from>
                    <xdr:col>10</xdr:col>
                    <xdr:colOff>0</xdr:colOff>
                    <xdr:row>77</xdr:row>
                    <xdr:rowOff>47625</xdr:rowOff>
                  </from>
                  <to>
                    <xdr:col>11</xdr:col>
                    <xdr:colOff>171450</xdr:colOff>
                    <xdr:row>77</xdr:row>
                    <xdr:rowOff>209550</xdr:rowOff>
                  </to>
                </anchor>
              </controlPr>
            </control>
          </mc:Choice>
        </mc:AlternateContent>
        <mc:AlternateContent xmlns:mc="http://schemas.openxmlformats.org/markup-compatibility/2006">
          <mc:Choice Requires="x14">
            <control shapeId="4424" r:id="rId10" name="Check Box 328">
              <controlPr defaultSize="0" autoFill="0" autoLine="0" autoPict="0">
                <anchor moveWithCells="1">
                  <from>
                    <xdr:col>11</xdr:col>
                    <xdr:colOff>285750</xdr:colOff>
                    <xdr:row>113</xdr:row>
                    <xdr:rowOff>47625</xdr:rowOff>
                  </from>
                  <to>
                    <xdr:col>13</xdr:col>
                    <xdr:colOff>47625</xdr:colOff>
                    <xdr:row>114</xdr:row>
                    <xdr:rowOff>142875</xdr:rowOff>
                  </to>
                </anchor>
              </controlPr>
            </control>
          </mc:Choice>
        </mc:AlternateContent>
        <mc:AlternateContent xmlns:mc="http://schemas.openxmlformats.org/markup-compatibility/2006">
          <mc:Choice Requires="x14">
            <control shapeId="4425" r:id="rId11" name="Check Box 329">
              <controlPr defaultSize="0" autoFill="0" autoLine="0" autoPict="0">
                <anchor moveWithCells="1">
                  <from>
                    <xdr:col>13</xdr:col>
                    <xdr:colOff>47625</xdr:colOff>
                    <xdr:row>113</xdr:row>
                    <xdr:rowOff>47625</xdr:rowOff>
                  </from>
                  <to>
                    <xdr:col>14</xdr:col>
                    <xdr:colOff>219075</xdr:colOff>
                    <xdr:row>114</xdr:row>
                    <xdr:rowOff>142875</xdr:rowOff>
                  </to>
                </anchor>
              </controlPr>
            </control>
          </mc:Choice>
        </mc:AlternateContent>
        <mc:AlternateContent xmlns:mc="http://schemas.openxmlformats.org/markup-compatibility/2006">
          <mc:Choice Requires="x14">
            <control shapeId="4426" r:id="rId12" name="Check Box 330">
              <controlPr defaultSize="0" autoFill="0" autoLine="0" autoPict="0">
                <anchor moveWithCells="1">
                  <from>
                    <xdr:col>11</xdr:col>
                    <xdr:colOff>266700</xdr:colOff>
                    <xdr:row>149</xdr:row>
                    <xdr:rowOff>66675</xdr:rowOff>
                  </from>
                  <to>
                    <xdr:col>13</xdr:col>
                    <xdr:colOff>28575</xdr:colOff>
                    <xdr:row>150</xdr:row>
                    <xdr:rowOff>171450</xdr:rowOff>
                  </to>
                </anchor>
              </controlPr>
            </control>
          </mc:Choice>
        </mc:AlternateContent>
        <mc:AlternateContent xmlns:mc="http://schemas.openxmlformats.org/markup-compatibility/2006">
          <mc:Choice Requires="x14">
            <control shapeId="4427" r:id="rId13" name="Check Box 331">
              <controlPr defaultSize="0" autoFill="0" autoLine="0" autoPict="0">
                <anchor moveWithCells="1">
                  <from>
                    <xdr:col>13</xdr:col>
                    <xdr:colOff>28575</xdr:colOff>
                    <xdr:row>149</xdr:row>
                    <xdr:rowOff>66675</xdr:rowOff>
                  </from>
                  <to>
                    <xdr:col>14</xdr:col>
                    <xdr:colOff>200025</xdr:colOff>
                    <xdr:row>150</xdr:row>
                    <xdr:rowOff>171450</xdr:rowOff>
                  </to>
                </anchor>
              </controlPr>
            </control>
          </mc:Choice>
        </mc:AlternateContent>
        <mc:AlternateContent xmlns:mc="http://schemas.openxmlformats.org/markup-compatibility/2006">
          <mc:Choice Requires="x14">
            <control shapeId="4428" r:id="rId14" name="Check Box 332">
              <controlPr defaultSize="0" autoFill="0" autoLine="0" autoPict="0">
                <anchor moveWithCells="1">
                  <from>
                    <xdr:col>11</xdr:col>
                    <xdr:colOff>276225</xdr:colOff>
                    <xdr:row>161</xdr:row>
                    <xdr:rowOff>57150</xdr:rowOff>
                  </from>
                  <to>
                    <xdr:col>13</xdr:col>
                    <xdr:colOff>38100</xdr:colOff>
                    <xdr:row>162</xdr:row>
                    <xdr:rowOff>152400</xdr:rowOff>
                  </to>
                </anchor>
              </controlPr>
            </control>
          </mc:Choice>
        </mc:AlternateContent>
        <mc:AlternateContent xmlns:mc="http://schemas.openxmlformats.org/markup-compatibility/2006">
          <mc:Choice Requires="x14">
            <control shapeId="4429" r:id="rId15" name="Check Box 333">
              <controlPr defaultSize="0" autoFill="0" autoLine="0" autoPict="0">
                <anchor moveWithCells="1">
                  <from>
                    <xdr:col>13</xdr:col>
                    <xdr:colOff>38100</xdr:colOff>
                    <xdr:row>161</xdr:row>
                    <xdr:rowOff>57150</xdr:rowOff>
                  </from>
                  <to>
                    <xdr:col>14</xdr:col>
                    <xdr:colOff>209550</xdr:colOff>
                    <xdr:row>162</xdr:row>
                    <xdr:rowOff>152400</xdr:rowOff>
                  </to>
                </anchor>
              </controlPr>
            </control>
          </mc:Choice>
        </mc:AlternateContent>
        <mc:AlternateContent xmlns:mc="http://schemas.openxmlformats.org/markup-compatibility/2006">
          <mc:Choice Requires="x14">
            <control shapeId="4430" r:id="rId16" name="Check Box 334">
              <controlPr defaultSize="0" autoFill="0" autoLine="0" autoPict="0">
                <anchor moveWithCells="1">
                  <from>
                    <xdr:col>11</xdr:col>
                    <xdr:colOff>247650</xdr:colOff>
                    <xdr:row>125</xdr:row>
                    <xdr:rowOff>66675</xdr:rowOff>
                  </from>
                  <to>
                    <xdr:col>13</xdr:col>
                    <xdr:colOff>9525</xdr:colOff>
                    <xdr:row>126</xdr:row>
                    <xdr:rowOff>171450</xdr:rowOff>
                  </to>
                </anchor>
              </controlPr>
            </control>
          </mc:Choice>
        </mc:AlternateContent>
        <mc:AlternateContent xmlns:mc="http://schemas.openxmlformats.org/markup-compatibility/2006">
          <mc:Choice Requires="x14">
            <control shapeId="4431" r:id="rId17" name="Check Box 335">
              <controlPr defaultSize="0" autoFill="0" autoLine="0" autoPict="0">
                <anchor moveWithCells="1">
                  <from>
                    <xdr:col>13</xdr:col>
                    <xdr:colOff>9525</xdr:colOff>
                    <xdr:row>125</xdr:row>
                    <xdr:rowOff>66675</xdr:rowOff>
                  </from>
                  <to>
                    <xdr:col>14</xdr:col>
                    <xdr:colOff>180975</xdr:colOff>
                    <xdr:row>126</xdr:row>
                    <xdr:rowOff>171450</xdr:rowOff>
                  </to>
                </anchor>
              </controlPr>
            </control>
          </mc:Choice>
        </mc:AlternateContent>
        <mc:AlternateContent xmlns:mc="http://schemas.openxmlformats.org/markup-compatibility/2006">
          <mc:Choice Requires="x14">
            <control shapeId="734409" r:id="rId18" name="Check Box 9417">
              <controlPr defaultSize="0" autoFill="0" autoLine="0" autoPict="0">
                <anchor moveWithCells="1">
                  <from>
                    <xdr:col>11</xdr:col>
                    <xdr:colOff>247650</xdr:colOff>
                    <xdr:row>137</xdr:row>
                    <xdr:rowOff>66675</xdr:rowOff>
                  </from>
                  <to>
                    <xdr:col>13</xdr:col>
                    <xdr:colOff>9525</xdr:colOff>
                    <xdr:row>138</xdr:row>
                    <xdr:rowOff>161925</xdr:rowOff>
                  </to>
                </anchor>
              </controlPr>
            </control>
          </mc:Choice>
        </mc:AlternateContent>
        <mc:AlternateContent xmlns:mc="http://schemas.openxmlformats.org/markup-compatibility/2006">
          <mc:Choice Requires="x14">
            <control shapeId="734410" r:id="rId19" name="Check Box 9418">
              <controlPr defaultSize="0" autoFill="0" autoLine="0" autoPict="0">
                <anchor moveWithCells="1">
                  <from>
                    <xdr:col>13</xdr:col>
                    <xdr:colOff>9525</xdr:colOff>
                    <xdr:row>137</xdr:row>
                    <xdr:rowOff>66675</xdr:rowOff>
                  </from>
                  <to>
                    <xdr:col>14</xdr:col>
                    <xdr:colOff>180975</xdr:colOff>
                    <xdr:row>138</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6600"/>
  </sheetPr>
  <dimension ref="A1:AU129"/>
  <sheetViews>
    <sheetView showZeros="0" view="pageBreakPreview" zoomScaleNormal="100" zoomScaleSheetLayoutView="100" workbookViewId="0">
      <selection activeCell="I59" sqref="I59"/>
    </sheetView>
  </sheetViews>
  <sheetFormatPr defaultColWidth="6.7109375" defaultRowHeight="24.75" customHeight="1"/>
  <cols>
    <col min="1" max="1" width="3.7109375" style="18" customWidth="1"/>
    <col min="2" max="18" width="6.7109375" style="8" customWidth="1"/>
    <col min="19" max="19" width="6.7109375" style="4" customWidth="1"/>
    <col min="20" max="20" width="6.28515625" style="8" customWidth="1"/>
    <col min="21" max="43" width="6.7109375" style="8"/>
    <col min="44" max="44" width="6.85546875" style="8" bestFit="1" customWidth="1"/>
    <col min="45" max="45" width="7" style="8" bestFit="1" customWidth="1"/>
    <col min="46" max="46" width="6.85546875" style="8" bestFit="1" customWidth="1"/>
    <col min="47" max="16384" width="6.7109375" style="8"/>
  </cols>
  <sheetData>
    <row r="1" spans="1:22" ht="63.75" customHeight="1">
      <c r="B1" s="216"/>
      <c r="C1" s="216"/>
      <c r="D1" s="216"/>
      <c r="F1" s="1392" t="s">
        <v>781</v>
      </c>
      <c r="G1" s="1392"/>
      <c r="H1" s="1392"/>
      <c r="I1" s="1392"/>
      <c r="J1" s="1392"/>
      <c r="K1" s="1392"/>
      <c r="L1" s="1392"/>
      <c r="M1" s="1392"/>
      <c r="N1" s="1392"/>
      <c r="O1" s="216"/>
      <c r="P1" s="217"/>
      <c r="Q1" s="217"/>
      <c r="R1" s="217"/>
      <c r="S1" s="217"/>
    </row>
    <row r="2" spans="1:22" ht="16.350000000000001" customHeight="1">
      <c r="A2" s="401" t="s">
        <v>768</v>
      </c>
      <c r="B2" s="403" t="s">
        <v>769</v>
      </c>
      <c r="C2" s="402"/>
      <c r="D2" s="402"/>
      <c r="E2" s="402"/>
      <c r="F2" s="402"/>
      <c r="G2" s="402"/>
      <c r="H2" s="402"/>
      <c r="I2" s="1469" t="s">
        <v>832</v>
      </c>
      <c r="J2" s="1469"/>
      <c r="K2" s="1473" t="str">
        <f>IF(ISBLANK('Design Summary'!Q3)," ",'Design Summary'!Q3)</f>
        <v xml:space="preserve"> </v>
      </c>
      <c r="L2" s="1473"/>
      <c r="M2" s="402"/>
      <c r="N2" s="402"/>
      <c r="O2" s="402"/>
      <c r="P2" s="402"/>
      <c r="Q2" s="402"/>
      <c r="R2" s="402"/>
      <c r="S2" s="404" t="str">
        <f>'Drop-Down Lists'!$J40</f>
        <v>v 04.20.2016</v>
      </c>
      <c r="T2" s="68"/>
      <c r="U2" s="68"/>
      <c r="V2" s="68"/>
    </row>
    <row r="3" spans="1:22" ht="6" customHeight="1">
      <c r="A3" s="196"/>
      <c r="B3" s="68"/>
      <c r="C3" s="68"/>
      <c r="D3" s="68"/>
      <c r="E3" s="68"/>
      <c r="F3" s="68"/>
      <c r="G3" s="68"/>
      <c r="H3" s="68"/>
      <c r="I3" s="201"/>
      <c r="J3" s="201"/>
      <c r="K3" s="201"/>
      <c r="L3" s="201"/>
      <c r="M3" s="68"/>
      <c r="N3" s="68"/>
      <c r="O3" s="68"/>
      <c r="P3" s="68"/>
      <c r="Q3" s="68"/>
      <c r="R3" s="68"/>
      <c r="S3" s="197"/>
      <c r="T3" s="68"/>
      <c r="U3" s="68"/>
      <c r="V3" s="68"/>
    </row>
    <row r="4" spans="1:22" ht="18" customHeight="1">
      <c r="A4" s="196"/>
      <c r="B4" s="1470" t="s">
        <v>0</v>
      </c>
      <c r="C4" s="1470"/>
      <c r="D4" s="1470"/>
      <c r="E4" s="1470"/>
      <c r="F4" s="1470"/>
      <c r="G4" s="1471"/>
      <c r="H4" s="1471"/>
      <c r="I4" s="1476"/>
      <c r="J4" s="1477"/>
      <c r="K4" s="1477"/>
      <c r="L4" s="1478"/>
      <c r="M4" s="839"/>
      <c r="N4" s="838"/>
      <c r="O4" s="837"/>
      <c r="P4" s="837"/>
      <c r="Q4" s="837"/>
      <c r="R4" s="784"/>
      <c r="S4" s="816">
        <v>0</v>
      </c>
      <c r="T4" s="68"/>
      <c r="U4" s="439"/>
      <c r="V4" s="68"/>
    </row>
    <row r="5" spans="1:22" ht="6" customHeight="1">
      <c r="A5" s="196"/>
      <c r="B5" s="68"/>
      <c r="C5" s="68"/>
      <c r="D5" s="68"/>
      <c r="E5" s="68"/>
      <c r="F5" s="68"/>
      <c r="G5" s="68"/>
      <c r="H5" s="68"/>
      <c r="I5" s="68"/>
      <c r="J5" s="68"/>
      <c r="K5" s="68"/>
      <c r="L5" s="68"/>
      <c r="M5" s="68"/>
      <c r="N5" s="68"/>
      <c r="O5" s="68"/>
      <c r="P5" s="68"/>
      <c r="Q5" s="68"/>
      <c r="R5" s="247"/>
      <c r="S5" s="817"/>
      <c r="T5" s="68"/>
      <c r="U5" s="68"/>
      <c r="V5" s="68"/>
    </row>
    <row r="6" spans="1:22" ht="19.899999999999999" customHeight="1">
      <c r="A6" s="198"/>
      <c r="B6" s="8" t="s">
        <v>1</v>
      </c>
      <c r="K6" s="1393"/>
      <c r="L6" s="1472"/>
      <c r="M6" s="8" t="s">
        <v>141</v>
      </c>
      <c r="N6" s="420" t="s">
        <v>788</v>
      </c>
      <c r="S6" s="55"/>
    </row>
    <row r="7" spans="1:22" ht="6" customHeight="1">
      <c r="A7" s="72"/>
      <c r="K7" s="34"/>
      <c r="L7" s="34"/>
      <c r="R7" s="91"/>
      <c r="S7" s="818"/>
    </row>
    <row r="8" spans="1:22" ht="19.899999999999999" customHeight="1">
      <c r="A8" s="199"/>
      <c r="B8" s="1053" t="s">
        <v>813</v>
      </c>
      <c r="C8" s="1053"/>
      <c r="D8" s="1053"/>
      <c r="E8" s="1053"/>
      <c r="F8" s="1053"/>
      <c r="G8" s="1053"/>
      <c r="H8" s="1053"/>
      <c r="K8" s="967" t="str">
        <f>IF(I4="Pressure", MAX('Pres. Dist.'!L58,'Non-Level Pres. Dist.'!N172), " ")</f>
        <v xml:space="preserve"> </v>
      </c>
      <c r="L8" s="1414"/>
      <c r="M8" s="8" t="s">
        <v>141</v>
      </c>
      <c r="S8" s="55"/>
    </row>
    <row r="9" spans="1:22" ht="6" customHeight="1">
      <c r="A9" s="72"/>
      <c r="R9" s="91"/>
      <c r="S9" s="818"/>
    </row>
    <row r="10" spans="1:22" ht="19.899999999999999" customHeight="1">
      <c r="A10" s="198"/>
      <c r="B10" s="8" t="s">
        <v>1023</v>
      </c>
      <c r="K10" s="1144"/>
      <c r="L10" s="1145"/>
      <c r="M10" s="1145"/>
      <c r="N10" s="1145"/>
      <c r="O10" s="1145"/>
      <c r="P10" s="1177"/>
      <c r="R10" s="91"/>
      <c r="S10" s="125"/>
    </row>
    <row r="11" spans="1:22" ht="6" customHeight="1">
      <c r="A11" s="72"/>
      <c r="S11" s="125"/>
    </row>
    <row r="12" spans="1:22" ht="16.350000000000001" customHeight="1">
      <c r="A12" s="1466" t="s">
        <v>311</v>
      </c>
      <c r="B12" s="1467"/>
      <c r="C12" s="1467"/>
      <c r="D12" s="1467"/>
      <c r="E12" s="1467"/>
      <c r="F12" s="1467"/>
      <c r="G12" s="1467"/>
      <c r="H12" s="1467"/>
      <c r="I12" s="1467"/>
      <c r="J12" s="1467"/>
      <c r="K12" s="1467"/>
      <c r="L12" s="1467"/>
      <c r="M12" s="1467"/>
      <c r="N12" s="1467"/>
      <c r="O12" s="1467"/>
      <c r="P12" s="1467"/>
      <c r="Q12" s="1467"/>
      <c r="R12" s="1467"/>
      <c r="S12" s="1468"/>
      <c r="T12" s="68"/>
      <c r="U12" s="68"/>
      <c r="V12" s="68"/>
    </row>
    <row r="13" spans="1:22" ht="6" customHeight="1">
      <c r="A13" s="200"/>
      <c r="B13" s="201"/>
      <c r="C13" s="201"/>
      <c r="D13" s="201"/>
      <c r="E13" s="201"/>
      <c r="F13" s="201"/>
      <c r="G13" s="201"/>
      <c r="H13" s="201"/>
      <c r="I13" s="201"/>
      <c r="J13" s="201"/>
      <c r="K13" s="201"/>
      <c r="L13" s="201"/>
      <c r="M13" s="201"/>
      <c r="N13" s="201"/>
      <c r="O13" s="201"/>
      <c r="P13" s="201"/>
      <c r="Q13" s="201"/>
      <c r="R13" s="201"/>
      <c r="S13" s="202"/>
      <c r="T13" s="68"/>
    </row>
    <row r="14" spans="1:22" ht="19.899999999999999" customHeight="1">
      <c r="A14" s="198" t="s">
        <v>154</v>
      </c>
      <c r="B14" s="1056" t="s">
        <v>616</v>
      </c>
      <c r="C14" s="1056"/>
      <c r="D14" s="1056"/>
      <c r="E14" s="1056"/>
      <c r="F14" s="1060"/>
      <c r="G14" s="1062"/>
      <c r="H14" s="8" t="s">
        <v>97</v>
      </c>
      <c r="K14" s="68"/>
      <c r="L14" s="68"/>
      <c r="M14" s="68"/>
      <c r="N14" s="68"/>
      <c r="O14" s="68"/>
      <c r="P14" s="68"/>
      <c r="Q14" s="68"/>
      <c r="R14" s="68"/>
      <c r="S14" s="197"/>
      <c r="T14" s="68"/>
    </row>
    <row r="15" spans="1:22" ht="18" customHeight="1">
      <c r="A15" s="72"/>
      <c r="B15" s="1056" t="s">
        <v>58</v>
      </c>
      <c r="C15" s="1056"/>
      <c r="D15" s="1056"/>
      <c r="E15" s="1056"/>
      <c r="F15" s="1056"/>
      <c r="G15" s="1056"/>
      <c r="H15" s="1056"/>
      <c r="K15" s="68"/>
      <c r="L15" s="68"/>
      <c r="M15" s="68"/>
      <c r="N15" s="68"/>
      <c r="O15" s="68"/>
      <c r="P15" s="68"/>
      <c r="Q15" s="68"/>
      <c r="R15" s="68"/>
      <c r="S15" s="197"/>
      <c r="T15" s="68"/>
    </row>
    <row r="16" spans="1:22" ht="6" customHeight="1">
      <c r="A16" s="199"/>
      <c r="B16" s="77"/>
      <c r="C16" s="77"/>
      <c r="D16" s="77"/>
      <c r="E16" s="77"/>
      <c r="F16" s="229"/>
      <c r="G16" s="229"/>
      <c r="H16" s="77"/>
      <c r="I16" s="77"/>
      <c r="J16" s="77"/>
      <c r="K16" s="10"/>
      <c r="L16" s="10"/>
      <c r="M16" s="10"/>
      <c r="N16" s="10"/>
      <c r="O16" s="10"/>
      <c r="P16" s="10"/>
      <c r="Q16" s="39"/>
      <c r="S16" s="126"/>
    </row>
    <row r="17" spans="1:19" ht="19.899999999999999" customHeight="1">
      <c r="A17" s="198" t="s">
        <v>527</v>
      </c>
      <c r="B17" s="1053" t="s">
        <v>615</v>
      </c>
      <c r="C17" s="1053"/>
      <c r="D17" s="1053"/>
      <c r="E17" s="1053"/>
      <c r="F17" s="1474"/>
      <c r="G17" s="1475"/>
      <c r="H17" s="8" t="s">
        <v>97</v>
      </c>
      <c r="I17" s="10"/>
      <c r="J17" s="10"/>
      <c r="K17" s="10"/>
      <c r="L17" s="10"/>
      <c r="M17" s="10"/>
      <c r="N17" s="10"/>
      <c r="O17" s="10"/>
      <c r="P17" s="10"/>
      <c r="Q17" s="39"/>
      <c r="S17" s="126"/>
    </row>
    <row r="18" spans="1:19" ht="6" customHeight="1">
      <c r="A18" s="199"/>
      <c r="K18" s="10"/>
      <c r="L18" s="10"/>
      <c r="M18" s="10"/>
      <c r="N18" s="10"/>
      <c r="O18" s="10"/>
      <c r="P18" s="10"/>
      <c r="Q18" s="39"/>
      <c r="S18" s="126"/>
    </row>
    <row r="19" spans="1:19" ht="19.899999999999999" customHeight="1">
      <c r="A19" s="198" t="s">
        <v>156</v>
      </c>
      <c r="B19" s="1056" t="s">
        <v>620</v>
      </c>
      <c r="C19" s="1056"/>
      <c r="D19" s="1056"/>
      <c r="E19" s="1057"/>
      <c r="F19" s="1060">
        <v>0</v>
      </c>
      <c r="G19" s="1062"/>
      <c r="H19" s="1136" t="s">
        <v>1026</v>
      </c>
      <c r="I19" s="1471"/>
      <c r="J19" s="1471"/>
      <c r="K19" s="1471"/>
      <c r="L19" s="1471"/>
      <c r="M19" s="1471"/>
      <c r="N19" s="1471"/>
      <c r="O19" s="10"/>
      <c r="P19" s="10"/>
      <c r="Q19" s="39"/>
      <c r="S19" s="126"/>
    </row>
    <row r="20" spans="1:19" ht="6" customHeight="1">
      <c r="A20" s="199"/>
      <c r="B20" s="230"/>
      <c r="I20" s="10"/>
      <c r="J20" s="10"/>
      <c r="K20" s="10"/>
      <c r="L20" s="10"/>
      <c r="M20" s="10"/>
      <c r="N20" s="10"/>
      <c r="O20" s="10"/>
      <c r="P20" s="10"/>
      <c r="Q20" s="39"/>
      <c r="S20" s="126"/>
    </row>
    <row r="21" spans="1:19" ht="23.45" customHeight="1">
      <c r="A21" s="199"/>
      <c r="I21" s="10"/>
      <c r="J21" s="10"/>
      <c r="K21" s="10"/>
      <c r="L21" s="10"/>
      <c r="M21" s="10"/>
      <c r="N21" s="10"/>
      <c r="O21" s="10"/>
      <c r="P21" s="10"/>
      <c r="Q21" s="39"/>
      <c r="S21" s="126"/>
    </row>
    <row r="22" spans="1:19" ht="23.45" customHeight="1">
      <c r="A22" s="199"/>
      <c r="I22" s="10"/>
      <c r="J22" s="10"/>
      <c r="K22" s="10"/>
      <c r="L22" s="10"/>
      <c r="M22" s="10"/>
      <c r="N22" s="10"/>
      <c r="O22" s="10"/>
      <c r="P22" s="10"/>
      <c r="Q22" s="39"/>
      <c r="S22" s="126"/>
    </row>
    <row r="23" spans="1:19" ht="23.45" customHeight="1">
      <c r="A23" s="199"/>
      <c r="I23" s="10"/>
      <c r="J23" s="10"/>
      <c r="K23" s="10"/>
      <c r="L23" s="10"/>
      <c r="M23" s="10"/>
      <c r="N23" s="10"/>
      <c r="O23" s="10"/>
      <c r="P23" s="10"/>
      <c r="Q23" s="39"/>
      <c r="S23" s="126"/>
    </row>
    <row r="24" spans="1:19" ht="23.45" customHeight="1">
      <c r="A24" s="199"/>
      <c r="I24" s="10"/>
      <c r="J24" s="10"/>
      <c r="K24" s="10"/>
      <c r="L24" s="10"/>
      <c r="M24" s="10"/>
      <c r="N24" s="10"/>
      <c r="O24" s="10"/>
      <c r="P24" s="10"/>
      <c r="Q24" s="39"/>
      <c r="S24" s="126"/>
    </row>
    <row r="25" spans="1:19" ht="23.45" customHeight="1">
      <c r="A25" s="199"/>
      <c r="I25" s="10"/>
      <c r="J25" s="10"/>
      <c r="K25" s="10"/>
      <c r="L25" s="10"/>
      <c r="M25" s="10"/>
      <c r="N25" s="10"/>
      <c r="O25" s="10"/>
      <c r="P25" s="10"/>
      <c r="Q25" s="39"/>
      <c r="S25" s="126"/>
    </row>
    <row r="26" spans="1:19" ht="23.45" customHeight="1">
      <c r="A26" s="199"/>
      <c r="I26" s="10"/>
      <c r="J26" s="10"/>
      <c r="K26" s="10"/>
      <c r="L26" s="10"/>
      <c r="M26" s="10"/>
      <c r="N26" s="10"/>
      <c r="O26" s="10"/>
      <c r="P26" s="10"/>
      <c r="Q26" s="39"/>
      <c r="S26" s="126"/>
    </row>
    <row r="27" spans="1:19" ht="23.45" customHeight="1">
      <c r="A27" s="199"/>
      <c r="D27" s="18"/>
      <c r="E27" s="18"/>
      <c r="K27" s="1141"/>
      <c r="L27" s="1141"/>
      <c r="M27" s="3"/>
      <c r="N27" s="3"/>
      <c r="O27" s="3"/>
      <c r="P27" s="3"/>
      <c r="Q27" s="39"/>
      <c r="R27" s="66"/>
      <c r="S27" s="126"/>
    </row>
    <row r="28" spans="1:19" ht="19.899999999999999" customHeight="1">
      <c r="A28" s="198" t="s">
        <v>476</v>
      </c>
      <c r="B28" s="1053" t="s">
        <v>814</v>
      </c>
      <c r="C28" s="1053"/>
      <c r="D28" s="1053"/>
      <c r="E28" s="1137"/>
      <c r="F28" s="1393"/>
      <c r="G28" s="1394"/>
      <c r="H28" s="8" t="s">
        <v>99</v>
      </c>
      <c r="I28" s="412"/>
      <c r="J28" s="413"/>
      <c r="K28" s="411"/>
      <c r="L28" s="411"/>
      <c r="M28" s="3"/>
      <c r="N28" s="3"/>
      <c r="O28" s="414"/>
      <c r="P28" s="414"/>
      <c r="Q28" s="66"/>
      <c r="R28" s="66"/>
      <c r="S28" s="126"/>
    </row>
    <row r="29" spans="1:19" ht="6" customHeight="1">
      <c r="A29" s="198"/>
      <c r="F29" s="195"/>
      <c r="G29" s="195"/>
      <c r="H29" s="108"/>
      <c r="I29" s="413"/>
      <c r="J29" s="413"/>
      <c r="K29" s="411"/>
      <c r="L29" s="411"/>
      <c r="M29" s="4"/>
      <c r="N29" s="4"/>
      <c r="O29" s="19"/>
      <c r="P29" s="19"/>
      <c r="Q29" s="66"/>
      <c r="R29" s="66"/>
      <c r="S29" s="126"/>
    </row>
    <row r="30" spans="1:19" ht="19.899999999999999" customHeight="1">
      <c r="A30" s="198"/>
      <c r="B30" s="1053" t="s">
        <v>815</v>
      </c>
      <c r="C30" s="1053"/>
      <c r="D30" s="1053"/>
      <c r="E30" s="1137"/>
      <c r="F30" s="1148"/>
      <c r="G30" s="1149"/>
      <c r="H30" s="8" t="s">
        <v>97</v>
      </c>
      <c r="I30" s="413"/>
      <c r="J30" s="413"/>
      <c r="K30" s="411"/>
      <c r="L30" s="411"/>
      <c r="M30" s="4"/>
      <c r="N30" s="4"/>
      <c r="O30" s="19"/>
      <c r="P30" s="19"/>
      <c r="Q30" s="66"/>
      <c r="R30" s="66"/>
      <c r="S30" s="126"/>
    </row>
    <row r="31" spans="1:19" ht="6" customHeight="1">
      <c r="A31" s="198"/>
      <c r="F31" s="195"/>
      <c r="G31" s="195"/>
      <c r="H31" s="108"/>
      <c r="K31" s="4"/>
      <c r="L31" s="4"/>
      <c r="M31" s="4"/>
      <c r="N31" s="4"/>
      <c r="O31" s="19"/>
      <c r="P31" s="19"/>
      <c r="Q31" s="66"/>
      <c r="R31" s="66"/>
      <c r="S31" s="126"/>
    </row>
    <row r="32" spans="1:19" ht="18" customHeight="1">
      <c r="A32" s="198" t="s">
        <v>477</v>
      </c>
      <c r="B32" s="1053" t="s">
        <v>826</v>
      </c>
      <c r="C32" s="1053"/>
      <c r="D32" s="1053"/>
      <c r="E32" s="1053"/>
      <c r="F32" s="1053"/>
      <c r="G32" s="1053"/>
      <c r="H32" s="1053"/>
      <c r="I32" s="1053"/>
      <c r="J32" s="1053"/>
      <c r="K32" s="1141"/>
      <c r="L32" s="1141"/>
      <c r="M32" s="3"/>
      <c r="N32" s="3"/>
      <c r="O32" s="414"/>
      <c r="P32" s="414"/>
      <c r="Q32" s="66"/>
      <c r="R32" s="66"/>
      <c r="S32" s="126"/>
    </row>
    <row r="33" spans="1:19" ht="10.5" customHeight="1">
      <c r="A33" s="198"/>
      <c r="K33" s="4"/>
      <c r="L33" s="4"/>
      <c r="M33" s="4"/>
      <c r="N33" s="4"/>
      <c r="O33" s="19"/>
      <c r="P33" s="19"/>
      <c r="Q33" s="66"/>
      <c r="R33" s="66"/>
      <c r="S33" s="126"/>
    </row>
    <row r="34" spans="1:19" ht="19.899999999999999" customHeight="1">
      <c r="A34" s="72"/>
      <c r="B34" s="8" t="s">
        <v>618</v>
      </c>
      <c r="E34" s="1087" t="str">
        <f>IF(ISBLANK(F28),"",(1042*((MAX(K8,K6)/(130*F28^2.63))^1.85)))</f>
        <v/>
      </c>
      <c r="F34" s="1088"/>
      <c r="G34" s="1136" t="s">
        <v>617</v>
      </c>
      <c r="H34" s="1053"/>
      <c r="I34" s="1053"/>
      <c r="J34" s="1053"/>
      <c r="N34" s="37"/>
      <c r="O34" s="37"/>
      <c r="P34" s="66"/>
      <c r="Q34" s="66"/>
      <c r="R34" s="66"/>
      <c r="S34" s="126"/>
    </row>
    <row r="35" spans="1:19" ht="6" customHeight="1">
      <c r="A35" s="72"/>
      <c r="F35" s="195"/>
      <c r="G35" s="195"/>
      <c r="N35" s="37"/>
      <c r="O35" s="37"/>
      <c r="P35" s="66"/>
      <c r="Q35" s="66"/>
      <c r="R35" s="66"/>
      <c r="S35" s="126"/>
    </row>
    <row r="36" spans="1:19" ht="18" customHeight="1">
      <c r="A36" s="198" t="s">
        <v>539</v>
      </c>
      <c r="B36" s="1368" t="s">
        <v>816</v>
      </c>
      <c r="C36" s="1368"/>
      <c r="D36" s="1368"/>
      <c r="E36" s="1368"/>
      <c r="F36" s="1368"/>
      <c r="G36" s="1368"/>
      <c r="H36" s="1368"/>
      <c r="I36" s="1368"/>
      <c r="J36" s="1368"/>
      <c r="K36" s="1368"/>
      <c r="L36" s="1368"/>
      <c r="M36" s="10"/>
      <c r="N36" s="10"/>
      <c r="O36" s="37"/>
      <c r="P36" s="66"/>
      <c r="Q36" s="66"/>
      <c r="R36" s="66"/>
      <c r="S36" s="126"/>
    </row>
    <row r="37" spans="1:19" ht="18" customHeight="1">
      <c r="A37" s="198"/>
      <c r="B37" s="1368"/>
      <c r="C37" s="1368"/>
      <c r="D37" s="1368"/>
      <c r="E37" s="1368"/>
      <c r="F37" s="1368"/>
      <c r="G37" s="1368"/>
      <c r="H37" s="1368"/>
      <c r="I37" s="1368"/>
      <c r="J37" s="1368"/>
      <c r="K37" s="1368"/>
      <c r="L37" s="1368"/>
      <c r="M37" s="10"/>
      <c r="N37" s="10"/>
      <c r="O37" s="37"/>
      <c r="P37" s="66"/>
      <c r="Q37" s="66"/>
      <c r="S37" s="126"/>
    </row>
    <row r="38" spans="1:19" ht="18" customHeight="1">
      <c r="A38" s="198"/>
      <c r="B38" s="1368"/>
      <c r="C38" s="1368"/>
      <c r="D38" s="1368"/>
      <c r="E38" s="1368"/>
      <c r="F38" s="1368"/>
      <c r="G38" s="1368"/>
      <c r="H38" s="1368"/>
      <c r="I38" s="1368"/>
      <c r="J38" s="1368"/>
      <c r="K38" s="1368"/>
      <c r="L38" s="1368"/>
      <c r="M38" s="10"/>
      <c r="N38" s="10"/>
      <c r="O38" s="37"/>
      <c r="P38" s="66"/>
      <c r="Q38" s="66"/>
      <c r="S38" s="126"/>
    </row>
    <row r="39" spans="1:19" ht="19.899999999999999" customHeight="1">
      <c r="A39" s="72"/>
      <c r="B39" s="961" t="str">
        <f>IF(ISBLANK(F30),"",F30)</f>
        <v/>
      </c>
      <c r="C39" s="962"/>
      <c r="D39" s="4" t="s">
        <v>97</v>
      </c>
      <c r="E39" s="4" t="s">
        <v>106</v>
      </c>
      <c r="F39" s="4">
        <v>1.25</v>
      </c>
      <c r="G39" s="4" t="s">
        <v>107</v>
      </c>
      <c r="H39" s="967" t="str">
        <f>IF(ISBLANK(F30),"",(B39*1.25))</f>
        <v/>
      </c>
      <c r="I39" s="968"/>
      <c r="J39" s="8" t="s">
        <v>97</v>
      </c>
      <c r="K39" s="188"/>
      <c r="L39" s="188"/>
      <c r="M39" s="109"/>
      <c r="S39" s="126"/>
    </row>
    <row r="40" spans="1:19" ht="6" customHeight="1">
      <c r="A40" s="72"/>
      <c r="F40" s="188"/>
      <c r="G40" s="188"/>
      <c r="H40" s="108"/>
      <c r="I40" s="108"/>
      <c r="J40" s="108"/>
      <c r="K40" s="108"/>
      <c r="L40" s="188"/>
      <c r="M40" s="188"/>
      <c r="N40" s="188"/>
      <c r="O40" s="109"/>
      <c r="S40" s="126"/>
    </row>
    <row r="41" spans="1:19" ht="18" customHeight="1">
      <c r="A41" s="198" t="s">
        <v>540</v>
      </c>
      <c r="B41" s="1056" t="s">
        <v>817</v>
      </c>
      <c r="C41" s="1056"/>
      <c r="D41" s="1056"/>
      <c r="E41" s="1056"/>
      <c r="F41" s="1056"/>
      <c r="G41" s="1056"/>
      <c r="H41" s="1056"/>
      <c r="I41" s="1056"/>
      <c r="J41" s="1056"/>
      <c r="K41" s="1056"/>
      <c r="L41" s="1056"/>
      <c r="M41" s="1056"/>
      <c r="N41" s="1056"/>
      <c r="O41" s="1056"/>
      <c r="P41" s="1056"/>
      <c r="Q41" s="1056"/>
      <c r="R41" s="1056"/>
      <c r="S41" s="1057"/>
    </row>
    <row r="42" spans="1:19" ht="18" customHeight="1">
      <c r="A42" s="199"/>
      <c r="B42" s="1053" t="s">
        <v>619</v>
      </c>
      <c r="C42" s="1053"/>
      <c r="D42" s="1053"/>
      <c r="E42" s="1053"/>
      <c r="F42" s="10"/>
      <c r="G42" s="10"/>
      <c r="H42" s="10"/>
      <c r="I42" s="10"/>
      <c r="J42" s="10"/>
      <c r="K42" s="10"/>
      <c r="L42" s="10"/>
      <c r="M42" s="10"/>
      <c r="S42" s="126"/>
    </row>
    <row r="43" spans="1:19" ht="19.899999999999999" customHeight="1">
      <c r="A43" s="72"/>
      <c r="B43" s="1087" t="str">
        <f>IF(ISBLANK(E34)," ",E34)</f>
        <v/>
      </c>
      <c r="C43" s="1088"/>
      <c r="D43" s="8" t="s">
        <v>291</v>
      </c>
      <c r="G43" s="4" t="s">
        <v>106</v>
      </c>
      <c r="H43" s="967" t="str">
        <f>H39</f>
        <v/>
      </c>
      <c r="I43" s="968"/>
      <c r="J43" s="8" t="s">
        <v>97</v>
      </c>
      <c r="K43" s="231" t="s">
        <v>613</v>
      </c>
      <c r="L43" s="4">
        <v>100</v>
      </c>
      <c r="M43" s="4" t="s">
        <v>107</v>
      </c>
      <c r="N43" s="967" t="str">
        <f>IF(ISBLANK(F30),"",((B43*H43)/100))</f>
        <v/>
      </c>
      <c r="O43" s="968"/>
      <c r="P43" s="8" t="s">
        <v>97</v>
      </c>
      <c r="S43" s="126"/>
    </row>
    <row r="44" spans="1:19" ht="6" customHeight="1">
      <c r="A44" s="755"/>
      <c r="B44" s="79"/>
      <c r="C44" s="203"/>
      <c r="D44" s="203"/>
      <c r="E44" s="204"/>
      <c r="F44" s="79"/>
      <c r="G44" s="161"/>
      <c r="H44" s="203"/>
      <c r="I44" s="203"/>
      <c r="J44" s="204"/>
      <c r="K44" s="205"/>
      <c r="L44" s="214"/>
      <c r="M44" s="214"/>
      <c r="N44" s="214"/>
      <c r="O44" s="214"/>
      <c r="P44" s="214"/>
      <c r="Q44" s="214"/>
      <c r="R44" s="214"/>
      <c r="S44" s="792"/>
    </row>
    <row r="45" spans="1:19" ht="6" customHeight="1">
      <c r="A45" s="187"/>
      <c r="B45" s="57"/>
      <c r="C45" s="208"/>
      <c r="D45" s="208"/>
      <c r="E45" s="209"/>
      <c r="F45" s="57"/>
      <c r="G45" s="210"/>
      <c r="H45" s="208"/>
      <c r="I45" s="208"/>
      <c r="J45" s="209"/>
      <c r="K45" s="211"/>
      <c r="L45" s="210"/>
      <c r="M45" s="232"/>
      <c r="N45" s="209"/>
      <c r="O45" s="212"/>
      <c r="P45" s="212"/>
      <c r="Q45" s="212"/>
      <c r="R45" s="212"/>
      <c r="S45" s="819"/>
    </row>
    <row r="46" spans="1:19" ht="18" customHeight="1">
      <c r="A46" s="198" t="s">
        <v>541</v>
      </c>
      <c r="B46" s="1397" t="s">
        <v>818</v>
      </c>
      <c r="C46" s="1397"/>
      <c r="D46" s="1397"/>
      <c r="E46" s="1397"/>
      <c r="F46" s="1397"/>
      <c r="G46" s="1397"/>
      <c r="H46" s="1397"/>
      <c r="I46" s="1397"/>
      <c r="J46" s="1397"/>
      <c r="K46" s="1397"/>
      <c r="L46" s="1397"/>
      <c r="M46" s="1397"/>
      <c r="N46" s="1397"/>
      <c r="O46" s="1397"/>
      <c r="P46" s="1397"/>
      <c r="Q46" s="1397"/>
      <c r="R46" s="1397"/>
      <c r="S46" s="1417"/>
    </row>
    <row r="47" spans="1:19" ht="18" customHeight="1">
      <c r="A47" s="199"/>
      <c r="B47" s="1397"/>
      <c r="C47" s="1397"/>
      <c r="D47" s="1397"/>
      <c r="E47" s="1397"/>
      <c r="F47" s="1397"/>
      <c r="G47" s="1397"/>
      <c r="H47" s="1397"/>
      <c r="I47" s="1397"/>
      <c r="J47" s="1397"/>
      <c r="K47" s="1397"/>
      <c r="L47" s="1397"/>
      <c r="M47" s="1397"/>
      <c r="N47" s="1397"/>
      <c r="O47" s="1397"/>
      <c r="P47" s="1397"/>
      <c r="Q47" s="1397"/>
      <c r="R47" s="1397"/>
      <c r="S47" s="1417"/>
    </row>
    <row r="48" spans="1:19" ht="6" customHeight="1">
      <c r="A48" s="199"/>
      <c r="B48" s="36"/>
      <c r="C48" s="36"/>
      <c r="D48" s="36"/>
      <c r="E48" s="36"/>
      <c r="F48" s="36"/>
      <c r="G48" s="36"/>
      <c r="H48" s="36"/>
      <c r="I48" s="36"/>
      <c r="J48" s="36"/>
      <c r="K48" s="36"/>
      <c r="L48" s="36"/>
      <c r="M48" s="36"/>
      <c r="N48" s="36"/>
      <c r="P48" s="36"/>
      <c r="Q48" s="36"/>
      <c r="R48" s="4"/>
      <c r="S48" s="126"/>
    </row>
    <row r="49" spans="1:47" ht="19.899999999999999" customHeight="1">
      <c r="A49" s="72"/>
      <c r="B49" s="967" t="str">
        <f>IF(ISBLANK(F14)," ",(F14))</f>
        <v xml:space="preserve"> </v>
      </c>
      <c r="C49" s="968"/>
      <c r="D49" s="8" t="s">
        <v>290</v>
      </c>
      <c r="E49" s="4" t="s">
        <v>315</v>
      </c>
      <c r="F49" s="967" t="str">
        <f>IF(ISBLANK(F17)," ",(F17))</f>
        <v xml:space="preserve"> </v>
      </c>
      <c r="G49" s="968"/>
      <c r="H49" s="8" t="s">
        <v>97</v>
      </c>
      <c r="I49" s="4" t="s">
        <v>315</v>
      </c>
      <c r="J49" s="967">
        <f>IF(ISBLANK(F19)," ",F19)</f>
        <v>0</v>
      </c>
      <c r="K49" s="968"/>
      <c r="L49" s="8" t="s">
        <v>608</v>
      </c>
      <c r="M49" s="967" t="str">
        <f>IF(ISBLANK(N43)," ",N43)</f>
        <v/>
      </c>
      <c r="N49" s="968"/>
      <c r="O49" s="8" t="s">
        <v>785</v>
      </c>
      <c r="P49" s="967" t="str">
        <f>IF(ISBLANK(F28),"",SUM(B49,J49,F49+M49,))</f>
        <v/>
      </c>
      <c r="Q49" s="968"/>
      <c r="R49" s="8" t="s">
        <v>97</v>
      </c>
      <c r="S49" s="125"/>
    </row>
    <row r="50" spans="1:47" ht="6" customHeight="1">
      <c r="A50" s="222"/>
      <c r="B50" s="79"/>
      <c r="C50" s="79"/>
      <c r="D50" s="79"/>
      <c r="E50" s="79"/>
      <c r="F50" s="79"/>
      <c r="G50" s="79"/>
      <c r="H50" s="79"/>
      <c r="I50" s="79"/>
      <c r="J50" s="79"/>
      <c r="K50" s="79"/>
      <c r="L50" s="79"/>
      <c r="M50" s="79"/>
      <c r="N50" s="79"/>
      <c r="O50" s="79"/>
      <c r="P50" s="53"/>
      <c r="Q50" s="79"/>
      <c r="R50" s="51"/>
      <c r="S50" s="820"/>
    </row>
    <row r="51" spans="1:47" ht="16.350000000000001" customHeight="1">
      <c r="A51" s="1487" t="s">
        <v>312</v>
      </c>
      <c r="B51" s="1488"/>
      <c r="C51" s="1488"/>
      <c r="D51" s="1488"/>
      <c r="E51" s="1488"/>
      <c r="F51" s="1488"/>
      <c r="G51" s="1488"/>
      <c r="H51" s="1488"/>
      <c r="I51" s="1488"/>
      <c r="J51" s="1488"/>
      <c r="K51" s="1488"/>
      <c r="L51" s="1488"/>
      <c r="M51" s="1488"/>
      <c r="N51" s="1488"/>
      <c r="O51" s="1488"/>
      <c r="P51" s="1488"/>
      <c r="Q51" s="1488"/>
      <c r="R51" s="1488"/>
      <c r="S51" s="1489"/>
      <c r="T51" s="68"/>
    </row>
    <row r="52" spans="1:47" ht="20.45" customHeight="1">
      <c r="A52" s="1490" t="s">
        <v>152</v>
      </c>
      <c r="B52" s="1491"/>
      <c r="C52" s="1491"/>
      <c r="D52" s="1491"/>
      <c r="E52" s="1491"/>
      <c r="F52" s="1491"/>
      <c r="G52" s="1491"/>
      <c r="H52" s="1492" t="str">
        <f>IF(ISBLANK(F14),"",(MAX(K6,K8)))</f>
        <v/>
      </c>
      <c r="I52" s="1492"/>
      <c r="J52" s="276" t="s">
        <v>153</v>
      </c>
      <c r="K52" s="276"/>
      <c r="L52" s="276"/>
      <c r="M52" s="276"/>
      <c r="N52" s="276"/>
      <c r="O52" s="1492" t="str">
        <f>IF(ISBLANK(F14), "  ",P49)</f>
        <v xml:space="preserve">  </v>
      </c>
      <c r="P52" s="1492"/>
      <c r="Q52" s="276" t="s">
        <v>614</v>
      </c>
      <c r="S52" s="821"/>
    </row>
    <row r="53" spans="1:47" ht="6" customHeight="1">
      <c r="A53" s="187"/>
      <c r="B53" s="57"/>
      <c r="C53" s="208"/>
      <c r="D53" s="208"/>
      <c r="E53" s="209"/>
      <c r="F53" s="57"/>
      <c r="G53" s="210"/>
      <c r="H53" s="208"/>
      <c r="I53" s="208"/>
      <c r="J53" s="209"/>
      <c r="K53" s="211"/>
      <c r="L53" s="210"/>
      <c r="M53" s="232"/>
      <c r="N53" s="209"/>
      <c r="O53" s="212"/>
      <c r="P53" s="212"/>
      <c r="Q53" s="212"/>
      <c r="R53" s="212"/>
      <c r="S53" s="819"/>
    </row>
    <row r="54" spans="1:47" ht="19.899999999999999" customHeight="1">
      <c r="A54" s="1479" t="s">
        <v>39</v>
      </c>
      <c r="B54" s="1480"/>
      <c r="C54" s="1480"/>
      <c r="D54" s="1481"/>
      <c r="E54" s="1481"/>
      <c r="F54" s="1481"/>
      <c r="G54" s="1481"/>
      <c r="H54" s="1481"/>
      <c r="I54" s="1481"/>
      <c r="J54" s="1481"/>
      <c r="K54" s="1481"/>
      <c r="L54" s="1481"/>
      <c r="M54" s="1481"/>
      <c r="N54" s="1481"/>
      <c r="O54" s="1481"/>
      <c r="P54" s="1481"/>
      <c r="Q54" s="1481"/>
      <c r="R54" s="1481"/>
      <c r="S54" s="1482"/>
    </row>
    <row r="55" spans="1:47" ht="84.75" customHeight="1" thickBot="1">
      <c r="A55" s="1493"/>
      <c r="B55" s="1494"/>
      <c r="C55" s="1494"/>
      <c r="D55" s="1494"/>
      <c r="E55" s="1494"/>
      <c r="F55" s="1494"/>
      <c r="G55" s="1494"/>
      <c r="H55" s="1494"/>
      <c r="I55" s="1494"/>
      <c r="J55" s="1494"/>
      <c r="K55" s="1494"/>
      <c r="L55" s="1494"/>
      <c r="M55" s="1494"/>
      <c r="N55" s="1494"/>
      <c r="O55" s="1494"/>
      <c r="P55" s="1494"/>
      <c r="Q55" s="1494"/>
      <c r="R55" s="1494"/>
      <c r="S55" s="1495"/>
    </row>
    <row r="56" spans="1:47" ht="9.75" customHeight="1">
      <c r="AU56" s="19"/>
    </row>
    <row r="57" spans="1:47" ht="24.75" customHeight="1">
      <c r="AU57" s="19"/>
    </row>
    <row r="58" spans="1:47" ht="24.75" customHeight="1">
      <c r="AU58" s="19"/>
    </row>
    <row r="59" spans="1:47" ht="24.75" customHeight="1">
      <c r="AU59" s="19"/>
    </row>
    <row r="60" spans="1:47" ht="24.75" customHeight="1">
      <c r="AU60" s="19"/>
    </row>
    <row r="61" spans="1:47" ht="24.75" customHeight="1">
      <c r="AU61" s="19"/>
    </row>
    <row r="62" spans="1:47" ht="24.75" customHeight="1">
      <c r="AU62" s="19"/>
    </row>
    <row r="63" spans="1:47" ht="24.75" customHeight="1">
      <c r="AU63" s="19"/>
    </row>
    <row r="64" spans="1:47" ht="24.75" customHeight="1">
      <c r="AU64" s="19"/>
    </row>
    <row r="65" spans="26:47" ht="24.75" customHeight="1">
      <c r="AU65" s="19"/>
    </row>
    <row r="66" spans="26:47" ht="24.75" customHeight="1">
      <c r="AU66" s="19"/>
    </row>
    <row r="67" spans="26:47" ht="24.75" customHeight="1">
      <c r="AU67" s="19"/>
    </row>
    <row r="68" spans="26:47" ht="24.75" customHeight="1">
      <c r="AU68" s="19"/>
    </row>
    <row r="69" spans="26:47" ht="24.75" customHeight="1">
      <c r="AU69" s="19"/>
    </row>
    <row r="70" spans="26:47" ht="24.75" customHeight="1">
      <c r="AU70" s="19"/>
    </row>
    <row r="71" spans="26:47" ht="24.75" customHeight="1">
      <c r="AU71" s="19"/>
    </row>
    <row r="72" spans="26:47" ht="24.75" customHeight="1">
      <c r="AU72" s="19"/>
    </row>
    <row r="73" spans="26:47" ht="24.75" customHeight="1">
      <c r="AU73" s="19"/>
    </row>
    <row r="74" spans="26:47" ht="24.75" customHeight="1">
      <c r="AU74" s="19"/>
    </row>
    <row r="75" spans="26:47" ht="24.75" customHeight="1">
      <c r="AU75" s="19"/>
    </row>
    <row r="76" spans="26:47" ht="24.75" customHeight="1">
      <c r="AU76" s="19"/>
    </row>
    <row r="77" spans="26:47" ht="24.75" customHeight="1">
      <c r="AU77" s="19"/>
    </row>
    <row r="78" spans="26:47" ht="24.75" customHeight="1">
      <c r="Z78" s="23"/>
      <c r="AA78" s="19"/>
      <c r="AB78" s="1485" t="s">
        <v>48</v>
      </c>
      <c r="AC78" s="1486"/>
      <c r="AD78" s="190">
        <v>1.5</v>
      </c>
      <c r="AE78" s="190">
        <v>2</v>
      </c>
      <c r="AF78" s="191">
        <v>3</v>
      </c>
      <c r="AU78" s="19"/>
    </row>
    <row r="79" spans="26:47" ht="24.75" customHeight="1">
      <c r="Z79" s="19"/>
      <c r="AA79" s="19"/>
      <c r="AB79" s="1485" t="s">
        <v>49</v>
      </c>
      <c r="AC79" s="1486"/>
      <c r="AD79" s="192">
        <v>1.07</v>
      </c>
      <c r="AE79" s="190">
        <v>1.38</v>
      </c>
      <c r="AF79" s="191">
        <v>2.04</v>
      </c>
    </row>
    <row r="80" spans="26:47" ht="24.75" customHeight="1">
      <c r="Z80" s="23"/>
      <c r="AA80" s="19"/>
      <c r="AB80" s="1485" t="s">
        <v>50</v>
      </c>
      <c r="AC80" s="1486"/>
      <c r="AD80" s="190">
        <v>4.03</v>
      </c>
      <c r="AE80" s="190">
        <v>5.17</v>
      </c>
      <c r="AF80" s="191">
        <v>7.67</v>
      </c>
    </row>
    <row r="81" spans="26:32" ht="24.75" customHeight="1">
      <c r="Z81" s="23"/>
      <c r="AA81" s="19"/>
      <c r="AB81" s="1485" t="s">
        <v>51</v>
      </c>
      <c r="AC81" s="1486"/>
      <c r="AD81" s="190">
        <v>2.15</v>
      </c>
      <c r="AE81" s="190">
        <v>2.76</v>
      </c>
      <c r="AF81" s="191">
        <v>4.09</v>
      </c>
    </row>
    <row r="82" spans="26:32" ht="24.75" customHeight="1">
      <c r="Z82" s="43"/>
      <c r="AA82" s="19"/>
      <c r="AB82" s="1485" t="s">
        <v>52</v>
      </c>
      <c r="AC82" s="1486"/>
      <c r="AD82" s="190">
        <v>2.68</v>
      </c>
      <c r="AE82" s="190">
        <v>3.45</v>
      </c>
      <c r="AF82" s="191">
        <v>5.1100000000000003</v>
      </c>
    </row>
    <row r="83" spans="26:32" ht="24.75" customHeight="1">
      <c r="AA83" s="19"/>
      <c r="AB83" s="1485" t="s">
        <v>53</v>
      </c>
      <c r="AC83" s="1486"/>
      <c r="AD83" s="190">
        <v>8.0500000000000007</v>
      </c>
      <c r="AE83" s="192">
        <v>10.3</v>
      </c>
      <c r="AF83" s="193">
        <v>15.3</v>
      </c>
    </row>
    <row r="84" spans="26:32" ht="24.75" customHeight="1">
      <c r="AA84" s="19"/>
      <c r="AB84" s="1483" t="s">
        <v>54</v>
      </c>
      <c r="AC84" s="1484"/>
      <c r="AD84" s="192">
        <v>13.4</v>
      </c>
      <c r="AE84" s="192">
        <v>17.2</v>
      </c>
      <c r="AF84" s="193">
        <v>25.5</v>
      </c>
    </row>
    <row r="85" spans="26:32" ht="24.75" customHeight="1">
      <c r="AA85" s="19"/>
      <c r="AB85" s="1483" t="s">
        <v>55</v>
      </c>
      <c r="AC85" s="1484"/>
      <c r="AD85" s="192">
        <v>20.100000000000001</v>
      </c>
      <c r="AE85" s="192">
        <v>25.8</v>
      </c>
      <c r="AF85" s="193">
        <v>38.4</v>
      </c>
    </row>
    <row r="86" spans="26:32" ht="24.75" customHeight="1">
      <c r="AA86" s="19"/>
      <c r="AB86" s="1483" t="s">
        <v>56</v>
      </c>
      <c r="AC86" s="1484"/>
      <c r="AD86" s="192">
        <v>45.6</v>
      </c>
      <c r="AE86" s="192">
        <v>58.6</v>
      </c>
      <c r="AF86" s="193">
        <v>86.9</v>
      </c>
    </row>
    <row r="87" spans="26:32" ht="24.75" customHeight="1">
      <c r="AA87" s="19"/>
      <c r="AB87" s="1483" t="s">
        <v>57</v>
      </c>
      <c r="AC87" s="1484"/>
      <c r="AD87" s="190" t="s">
        <v>596</v>
      </c>
      <c r="AE87" s="190">
        <v>7.75</v>
      </c>
      <c r="AF87" s="193">
        <v>11.5</v>
      </c>
    </row>
    <row r="88" spans="26:32" ht="24.75" customHeight="1">
      <c r="AA88" s="19"/>
    </row>
    <row r="89" spans="26:32" ht="24.75" customHeight="1">
      <c r="AA89" s="19"/>
    </row>
    <row r="90" spans="26:32" ht="24.75" customHeight="1">
      <c r="AA90" s="19"/>
    </row>
    <row r="91" spans="26:32" ht="24.75" customHeight="1">
      <c r="AA91" s="19"/>
    </row>
    <row r="92" spans="26:32" ht="24.75" customHeight="1">
      <c r="AA92" s="19"/>
    </row>
    <row r="93" spans="26:32" ht="24.75" customHeight="1">
      <c r="AA93" s="19"/>
    </row>
    <row r="94" spans="26:32" ht="24.75" customHeight="1">
      <c r="AA94" s="19"/>
    </row>
    <row r="95" spans="26:32" ht="24.75" customHeight="1">
      <c r="AA95" s="19"/>
    </row>
    <row r="96" spans="26:32" ht="24.75" customHeight="1">
      <c r="AA96" s="19"/>
    </row>
    <row r="97" spans="27:27" ht="24.75" customHeight="1">
      <c r="AA97" s="19"/>
    </row>
    <row r="98" spans="27:27" ht="24.75" customHeight="1">
      <c r="AA98" s="19"/>
    </row>
    <row r="99" spans="27:27" ht="24.75" customHeight="1">
      <c r="AA99" s="19"/>
    </row>
    <row r="100" spans="27:27" ht="24.75" customHeight="1">
      <c r="AA100" s="19"/>
    </row>
    <row r="101" spans="27:27" ht="24.75" customHeight="1">
      <c r="AA101" s="19"/>
    </row>
    <row r="102" spans="27:27" ht="24.75" customHeight="1">
      <c r="AA102" s="19"/>
    </row>
    <row r="103" spans="27:27" ht="24.75" customHeight="1">
      <c r="AA103" s="19"/>
    </row>
    <row r="104" spans="27:27" ht="24.75" customHeight="1">
      <c r="AA104" s="19"/>
    </row>
    <row r="105" spans="27:27" ht="24.75" customHeight="1">
      <c r="AA105" s="19"/>
    </row>
    <row r="106" spans="27:27" ht="24.75" customHeight="1">
      <c r="AA106" s="19"/>
    </row>
    <row r="107" spans="27:27" ht="24.75" customHeight="1">
      <c r="AA107" s="19"/>
    </row>
    <row r="108" spans="27:27" ht="24.75" customHeight="1">
      <c r="AA108" s="19"/>
    </row>
    <row r="109" spans="27:27" ht="24.75" customHeight="1">
      <c r="AA109" s="19"/>
    </row>
    <row r="110" spans="27:27" ht="24.75" customHeight="1">
      <c r="AA110" s="19"/>
    </row>
    <row r="111" spans="27:27" ht="24.75" customHeight="1">
      <c r="AA111" s="19"/>
    </row>
    <row r="112" spans="27:27" ht="24.75" customHeight="1">
      <c r="AA112" s="19"/>
    </row>
    <row r="113" spans="27:27" ht="24.75" customHeight="1">
      <c r="AA113" s="19"/>
    </row>
    <row r="114" spans="27:27" ht="24.75" customHeight="1">
      <c r="AA114" s="19"/>
    </row>
    <row r="115" spans="27:27" ht="24.75" customHeight="1">
      <c r="AA115" s="19"/>
    </row>
    <row r="116" spans="27:27" ht="24.75" customHeight="1">
      <c r="AA116" s="19"/>
    </row>
    <row r="117" spans="27:27" ht="24.75" customHeight="1">
      <c r="AA117" s="19"/>
    </row>
    <row r="118" spans="27:27" ht="24.75" customHeight="1">
      <c r="AA118" s="19"/>
    </row>
    <row r="119" spans="27:27" ht="24.75" customHeight="1">
      <c r="AA119" s="19"/>
    </row>
    <row r="120" spans="27:27" ht="24.75" customHeight="1">
      <c r="AA120" s="19"/>
    </row>
    <row r="121" spans="27:27" ht="24.75" customHeight="1">
      <c r="AA121" s="19"/>
    </row>
    <row r="122" spans="27:27" ht="24.75" customHeight="1">
      <c r="AA122" s="19"/>
    </row>
    <row r="123" spans="27:27" ht="24.75" customHeight="1">
      <c r="AA123" s="19"/>
    </row>
    <row r="124" spans="27:27" ht="24.75" customHeight="1">
      <c r="AA124" s="19"/>
    </row>
    <row r="125" spans="27:27" ht="24.75" customHeight="1">
      <c r="AA125" s="19"/>
    </row>
    <row r="126" spans="27:27" ht="24.75" customHeight="1">
      <c r="AA126" s="19"/>
    </row>
    <row r="127" spans="27:27" ht="24.75" customHeight="1">
      <c r="AA127" s="19"/>
    </row>
    <row r="128" spans="27:27" ht="24.75" customHeight="1">
      <c r="AA128" s="19"/>
    </row>
    <row r="129" spans="27:27" ht="24.75" customHeight="1">
      <c r="AA129" s="19"/>
    </row>
  </sheetData>
  <sheetProtection sheet="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7">
    <mergeCell ref="AB84:AC84"/>
    <mergeCell ref="AB85:AC85"/>
    <mergeCell ref="AB86:AC86"/>
    <mergeCell ref="AB87:AC87"/>
    <mergeCell ref="B36:L38"/>
    <mergeCell ref="AB78:AC78"/>
    <mergeCell ref="AB79:AC79"/>
    <mergeCell ref="AB80:AC80"/>
    <mergeCell ref="AB81:AC81"/>
    <mergeCell ref="AB82:AC82"/>
    <mergeCell ref="AB83:AC83"/>
    <mergeCell ref="A51:S51"/>
    <mergeCell ref="A52:G52"/>
    <mergeCell ref="H52:I52"/>
    <mergeCell ref="O52:P52"/>
    <mergeCell ref="A55:S55"/>
    <mergeCell ref="A54:S54"/>
    <mergeCell ref="B46:S47"/>
    <mergeCell ref="B49:C49"/>
    <mergeCell ref="F49:G49"/>
    <mergeCell ref="J49:K49"/>
    <mergeCell ref="P49:Q49"/>
    <mergeCell ref="M49:N49"/>
    <mergeCell ref="N43:O43"/>
    <mergeCell ref="B32:J32"/>
    <mergeCell ref="K32:L32"/>
    <mergeCell ref="E34:F34"/>
    <mergeCell ref="G34:J34"/>
    <mergeCell ref="B39:C39"/>
    <mergeCell ref="H39:I39"/>
    <mergeCell ref="B41:S41"/>
    <mergeCell ref="B42:E42"/>
    <mergeCell ref="B43:C43"/>
    <mergeCell ref="H43:I43"/>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B8:H8"/>
    <mergeCell ref="A12:S12"/>
    <mergeCell ref="I2:J2"/>
    <mergeCell ref="F1:N1"/>
    <mergeCell ref="B4:H4"/>
    <mergeCell ref="K6:L6"/>
    <mergeCell ref="K8:L8"/>
  </mergeCells>
  <dataValidations count="5">
    <dataValidation type="list" allowBlank="1" showInputMessage="1" showErrorMessage="1" sqref="F17:G17" xr:uid="{00000000-0002-0000-0C00-000000000000}">
      <formula1>DistHeadLoss</formula1>
    </dataValidation>
    <dataValidation type="list" allowBlank="1" showInputMessage="1" showErrorMessage="1" sqref="F28:G28" xr:uid="{00000000-0002-0000-0C00-000001000000}">
      <formula1>PipeDia</formula1>
    </dataValidation>
    <dataValidation type="decimal" allowBlank="1" showInputMessage="1" showErrorMessage="1" sqref="K6" xr:uid="{00000000-0002-0000-0C00-000002000000}">
      <formula1>10</formula1>
      <formula2>45</formula2>
    </dataValidation>
    <dataValidation type="list" allowBlank="1" showInputMessage="1" sqref="K10:P10" xr:uid="{00000000-0002-0000-0C00-000003000000}">
      <formula1>PumpType</formula1>
    </dataValidation>
    <dataValidation type="list" allowBlank="1" showInputMessage="1" showErrorMessage="1" sqref="I4:L4" xr:uid="{00000000-0002-0000-0C00-000004000000}">
      <formula1>Gravity_Or_Pressure</formula1>
    </dataValidation>
  </dataValidations>
  <printOptions horizontalCentered="1"/>
  <pageMargins left="0.45" right="0.45" top="0.5" bottom="0.5" header="0.3" footer="0.3"/>
  <pageSetup scale="75" orientation="portrait" blackAndWhite="1"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FF6600"/>
  </sheetPr>
  <dimension ref="A1:AU90"/>
  <sheetViews>
    <sheetView showGridLines="0" showZeros="0" view="pageBreakPreview" zoomScaleNormal="100" zoomScaleSheetLayoutView="100" workbookViewId="0">
      <selection activeCell="K28" sqref="K28:L28"/>
    </sheetView>
  </sheetViews>
  <sheetFormatPr defaultColWidth="6.7109375" defaultRowHeight="35.1" customHeight="1"/>
  <cols>
    <col min="1" max="1" width="3.7109375" style="8" customWidth="1"/>
    <col min="2" max="16" width="7.28515625" style="8" customWidth="1"/>
    <col min="17" max="20" width="7.28515625" style="4" customWidth="1"/>
    <col min="21" max="34" width="6.7109375" style="8" customWidth="1"/>
    <col min="35" max="16384" width="6.7109375" style="8"/>
  </cols>
  <sheetData>
    <row r="1" spans="1:47" ht="69.599999999999994" customHeight="1">
      <c r="B1" s="216"/>
      <c r="C1" s="216"/>
      <c r="D1" s="216"/>
      <c r="F1" s="1499" t="s">
        <v>1251</v>
      </c>
      <c r="G1" s="1499"/>
      <c r="H1" s="1499"/>
      <c r="I1" s="1499"/>
      <c r="J1" s="1499"/>
      <c r="K1" s="1499"/>
      <c r="L1" s="1499"/>
      <c r="M1" s="1499"/>
      <c r="N1" s="844"/>
      <c r="O1" s="844"/>
      <c r="P1" s="822"/>
      <c r="Q1" s="822"/>
      <c r="R1" s="822"/>
      <c r="S1" s="822"/>
      <c r="T1" s="822"/>
      <c r="V1" s="842"/>
      <c r="X1" s="842"/>
      <c r="Y1" s="842"/>
      <c r="Z1" s="842"/>
      <c r="AA1" s="842"/>
      <c r="AB1" s="842"/>
      <c r="AC1" s="842"/>
      <c r="AD1" s="832"/>
      <c r="AE1" s="832"/>
      <c r="AF1" s="833"/>
      <c r="AG1" s="833"/>
      <c r="AH1" s="842"/>
      <c r="AI1" s="842"/>
      <c r="AJ1" s="842"/>
      <c r="AK1" s="842"/>
      <c r="AL1" s="842"/>
      <c r="AM1" s="842"/>
      <c r="AN1" s="842"/>
      <c r="AO1" s="843"/>
    </row>
    <row r="2" spans="1:47" ht="24" customHeight="1">
      <c r="A2" s="773"/>
      <c r="B2" s="1134" t="s">
        <v>847</v>
      </c>
      <c r="C2" s="1134"/>
      <c r="D2" s="1134"/>
      <c r="E2" s="1134"/>
      <c r="F2" s="1134"/>
      <c r="G2" s="1134"/>
      <c r="H2" s="1134"/>
      <c r="I2" s="1134"/>
      <c r="J2" s="1134"/>
      <c r="K2" s="1134"/>
      <c r="L2" s="1198" t="s">
        <v>832</v>
      </c>
      <c r="M2" s="1198"/>
      <c r="N2" s="1496" t="str">
        <f>IF(ISBLANK('Design Summary'!Q3)," ",'Design Summary'!Q3)</f>
        <v xml:space="preserve"> </v>
      </c>
      <c r="O2" s="1496"/>
      <c r="P2" s="387"/>
      <c r="Q2" s="387"/>
      <c r="R2" s="387"/>
      <c r="S2" s="387"/>
      <c r="T2" s="404" t="str">
        <f>'Drop-Down Lists'!J40</f>
        <v>v 04.20.2016</v>
      </c>
      <c r="V2" s="841"/>
      <c r="W2" s="842" t="s">
        <v>876</v>
      </c>
      <c r="AH2" s="18"/>
      <c r="AI2" s="18"/>
      <c r="AJ2" s="18"/>
      <c r="AK2" s="18"/>
      <c r="AL2" s="18"/>
      <c r="AM2" s="18"/>
      <c r="AN2" s="18"/>
      <c r="AO2" s="18"/>
      <c r="AT2" s="19"/>
      <c r="AU2" s="19"/>
    </row>
    <row r="3" spans="1:47" ht="6" customHeight="1">
      <c r="A3" s="200"/>
      <c r="B3" s="135"/>
      <c r="C3" s="135"/>
      <c r="D3" s="135"/>
      <c r="E3" s="135"/>
      <c r="F3" s="135"/>
      <c r="G3" s="135"/>
      <c r="H3" s="135"/>
      <c r="I3" s="135" t="s">
        <v>721</v>
      </c>
      <c r="J3" s="135"/>
      <c r="K3" s="135"/>
      <c r="L3" s="135"/>
      <c r="M3" s="135"/>
      <c r="N3" s="135"/>
      <c r="O3" s="135"/>
      <c r="P3" s="135"/>
      <c r="Q3" s="135"/>
      <c r="R3" s="135"/>
      <c r="S3" s="135"/>
      <c r="T3" s="774"/>
      <c r="AL3" s="4"/>
      <c r="AM3" s="4"/>
      <c r="AN3" s="4"/>
      <c r="AO3" s="4"/>
      <c r="AT3" s="19"/>
      <c r="AU3" s="19"/>
    </row>
    <row r="4" spans="1:47" ht="24" customHeight="1">
      <c r="A4" s="124" t="s">
        <v>93</v>
      </c>
      <c r="B4" s="476" t="s">
        <v>154</v>
      </c>
      <c r="C4" s="491" t="s">
        <v>679</v>
      </c>
      <c r="D4" s="450"/>
      <c r="E4" s="450"/>
      <c r="F4" s="450"/>
      <c r="G4" s="450"/>
      <c r="I4" s="986" t="str">
        <f>IF(ISBLANK('Design Summary'!D9),"",'Design Summary'!D9)</f>
        <v/>
      </c>
      <c r="J4" s="1268"/>
      <c r="K4" s="450" t="s">
        <v>317</v>
      </c>
      <c r="L4" s="18"/>
      <c r="M4" s="18"/>
      <c r="N4" s="18"/>
      <c r="O4" s="18"/>
      <c r="P4" s="18"/>
      <c r="Q4" s="18"/>
      <c r="R4" s="18"/>
      <c r="S4" s="18"/>
      <c r="T4" s="775"/>
      <c r="V4" s="4" t="s">
        <v>154</v>
      </c>
      <c r="W4" s="8" t="s">
        <v>155</v>
      </c>
      <c r="AL4" s="4"/>
      <c r="AM4" s="4"/>
      <c r="AN4" s="4"/>
      <c r="AO4" s="4"/>
      <c r="AT4" s="19"/>
      <c r="AU4" s="19"/>
    </row>
    <row r="5" spans="1:47" ht="6" customHeight="1">
      <c r="A5" s="199"/>
      <c r="B5" s="18"/>
      <c r="C5" s="18"/>
      <c r="D5" s="18"/>
      <c r="E5" s="18"/>
      <c r="F5" s="18"/>
      <c r="G5" s="18"/>
      <c r="H5" s="18"/>
      <c r="L5" s="18"/>
      <c r="M5" s="18"/>
      <c r="N5" s="18"/>
      <c r="O5" s="18"/>
      <c r="P5" s="18"/>
      <c r="Q5" s="18"/>
      <c r="R5" s="18"/>
      <c r="S5" s="18"/>
      <c r="T5" s="775"/>
      <c r="AL5" s="4"/>
      <c r="AM5" s="4"/>
      <c r="AN5" s="4"/>
      <c r="AO5" s="4"/>
      <c r="AT5" s="19"/>
      <c r="AU5" s="19"/>
    </row>
    <row r="6" spans="1:47" ht="24" customHeight="1">
      <c r="A6" s="199"/>
      <c r="B6" s="4" t="s">
        <v>527</v>
      </c>
      <c r="C6" s="8" t="s">
        <v>1166</v>
      </c>
      <c r="I6" s="1148"/>
      <c r="J6" s="1149"/>
      <c r="K6" s="8" t="s">
        <v>633</v>
      </c>
      <c r="L6" s="8" t="s">
        <v>1167</v>
      </c>
      <c r="Q6" s="8"/>
      <c r="R6" s="1148"/>
      <c r="S6" s="1149"/>
      <c r="T6" s="628" t="s">
        <v>633</v>
      </c>
      <c r="W6" s="1497"/>
      <c r="X6" s="1498"/>
      <c r="Y6" s="8" t="s">
        <v>97</v>
      </c>
      <c r="Z6" s="76" t="s">
        <v>106</v>
      </c>
      <c r="AA6" s="1497"/>
      <c r="AB6" s="1498"/>
      <c r="AC6" s="4" t="s">
        <v>97</v>
      </c>
      <c r="AD6" s="76" t="s">
        <v>107</v>
      </c>
      <c r="AE6" s="967" t="str">
        <f>IF(ISBLANK(W6), " ", (W6*AA6))</f>
        <v xml:space="preserve"> </v>
      </c>
      <c r="AF6" s="968"/>
      <c r="AG6" s="8" t="s">
        <v>31</v>
      </c>
      <c r="AL6" s="4"/>
      <c r="AM6" s="4"/>
      <c r="AN6" s="4"/>
      <c r="AO6" s="4"/>
      <c r="AT6" s="19"/>
      <c r="AU6" s="19"/>
    </row>
    <row r="7" spans="1:47" ht="6" customHeight="1">
      <c r="A7" s="199"/>
      <c r="B7" s="4"/>
      <c r="I7" s="831"/>
      <c r="J7" s="831"/>
      <c r="Q7" s="8"/>
      <c r="R7" s="831"/>
      <c r="S7" s="831"/>
      <c r="T7" s="55"/>
      <c r="AL7" s="4"/>
      <c r="AM7" s="4"/>
      <c r="AN7" s="4"/>
      <c r="AO7" s="4"/>
      <c r="AT7" s="19"/>
      <c r="AU7" s="19"/>
    </row>
    <row r="8" spans="1:47" ht="6" customHeight="1">
      <c r="A8" s="200"/>
      <c r="B8" s="135"/>
      <c r="C8" s="135"/>
      <c r="D8" s="135"/>
      <c r="E8" s="135"/>
      <c r="F8" s="135"/>
      <c r="G8" s="135"/>
      <c r="H8" s="135"/>
      <c r="I8" s="57"/>
      <c r="J8" s="57"/>
      <c r="K8" s="57"/>
      <c r="L8" s="135"/>
      <c r="M8" s="135"/>
      <c r="N8" s="135"/>
      <c r="O8" s="135"/>
      <c r="P8" s="135"/>
      <c r="Q8" s="135"/>
      <c r="R8" s="135"/>
      <c r="S8" s="135"/>
      <c r="T8" s="774"/>
      <c r="AL8" s="4"/>
      <c r="AM8" s="4"/>
      <c r="AN8" s="4"/>
      <c r="AO8" s="4"/>
      <c r="AT8" s="19"/>
      <c r="AU8" s="19"/>
    </row>
    <row r="9" spans="1:47" ht="24" customHeight="1">
      <c r="A9" s="124" t="s">
        <v>94</v>
      </c>
      <c r="B9" s="4" t="s">
        <v>154</v>
      </c>
      <c r="C9" s="8" t="s">
        <v>809</v>
      </c>
      <c r="D9" s="37"/>
      <c r="E9" s="4"/>
      <c r="F9" s="1148"/>
      <c r="G9" s="1505"/>
      <c r="H9" s="1505"/>
      <c r="I9" s="1505"/>
      <c r="J9" s="1149"/>
      <c r="K9" s="4" t="s">
        <v>527</v>
      </c>
      <c r="L9" s="8" t="s">
        <v>810</v>
      </c>
      <c r="M9" s="37"/>
      <c r="N9" s="1060"/>
      <c r="O9" s="1061"/>
      <c r="P9" s="1061"/>
      <c r="Q9" s="1061"/>
      <c r="R9" s="1062"/>
      <c r="T9" s="125"/>
      <c r="V9" s="4" t="s">
        <v>527</v>
      </c>
      <c r="W9" s="8" t="s">
        <v>560</v>
      </c>
      <c r="AK9" s="406"/>
      <c r="AL9" s="406"/>
      <c r="AM9" s="406"/>
      <c r="AN9" s="406"/>
      <c r="AO9" s="4"/>
      <c r="AT9" s="19"/>
      <c r="AU9" s="19"/>
    </row>
    <row r="10" spans="1:47" ht="6" customHeight="1">
      <c r="A10" s="52"/>
      <c r="B10" s="4"/>
      <c r="D10" s="37"/>
      <c r="E10" s="4"/>
      <c r="F10" s="43"/>
      <c r="G10" s="43"/>
      <c r="H10" s="70"/>
      <c r="J10" s="4"/>
      <c r="K10" s="43"/>
      <c r="L10" s="43"/>
      <c r="M10" s="4"/>
      <c r="N10" s="514"/>
      <c r="O10" s="514"/>
      <c r="P10" s="238"/>
      <c r="Q10" s="238"/>
      <c r="R10" s="238"/>
      <c r="S10" s="238"/>
      <c r="T10" s="840"/>
      <c r="AK10" s="406"/>
      <c r="AL10" s="406"/>
      <c r="AM10" s="406"/>
      <c r="AN10" s="406"/>
      <c r="AO10" s="4"/>
      <c r="AT10" s="19"/>
      <c r="AU10" s="19"/>
    </row>
    <row r="11" spans="1:47" ht="24" customHeight="1">
      <c r="A11" s="52"/>
      <c r="B11" s="4" t="s">
        <v>156</v>
      </c>
      <c r="C11" s="8" t="s">
        <v>877</v>
      </c>
      <c r="I11" s="1148"/>
      <c r="J11" s="1376"/>
      <c r="K11" s="8" t="s">
        <v>101</v>
      </c>
      <c r="N11" s="1506" t="s">
        <v>879</v>
      </c>
      <c r="O11" s="1506"/>
      <c r="P11" s="1506"/>
      <c r="Q11" s="1506"/>
      <c r="R11" s="1506"/>
      <c r="S11" s="1506"/>
      <c r="T11" s="1507"/>
      <c r="X11" s="76" t="s">
        <v>294</v>
      </c>
      <c r="Z11" s="1497"/>
      <c r="AA11" s="1498"/>
      <c r="AB11" s="219">
        <v>2</v>
      </c>
      <c r="AC11" s="8" t="s">
        <v>97</v>
      </c>
      <c r="AD11" s="76" t="s">
        <v>107</v>
      </c>
      <c r="AE11" s="967" t="str">
        <f>IF(ISBLANK(Z11)," ",PI()*Z11*Z11)</f>
        <v xml:space="preserve"> </v>
      </c>
      <c r="AF11" s="968"/>
      <c r="AG11" s="8" t="s">
        <v>31</v>
      </c>
      <c r="AT11" s="19"/>
      <c r="AU11" s="19"/>
    </row>
    <row r="12" spans="1:47" ht="6" customHeight="1">
      <c r="A12" s="52"/>
      <c r="B12" s="4"/>
      <c r="I12" s="142"/>
      <c r="J12" s="142"/>
      <c r="K12" s="142"/>
      <c r="N12" s="1506"/>
      <c r="O12" s="1506"/>
      <c r="P12" s="1506"/>
      <c r="Q12" s="1506"/>
      <c r="R12" s="1506"/>
      <c r="S12" s="1506"/>
      <c r="T12" s="1507"/>
      <c r="V12" s="841"/>
      <c r="AK12" s="4"/>
      <c r="AL12" s="4"/>
      <c r="AM12" s="4"/>
      <c r="AN12" s="4"/>
      <c r="AO12" s="4"/>
      <c r="AT12" s="19"/>
    </row>
    <row r="13" spans="1:47" ht="24" customHeight="1">
      <c r="A13" s="52"/>
      <c r="B13" s="4" t="s">
        <v>476</v>
      </c>
      <c r="C13" s="8" t="s">
        <v>853</v>
      </c>
      <c r="H13" s="142"/>
      <c r="I13" s="1393"/>
      <c r="J13" s="1472"/>
      <c r="K13" s="8" t="s">
        <v>591</v>
      </c>
      <c r="N13" s="1506"/>
      <c r="O13" s="1506"/>
      <c r="P13" s="1506"/>
      <c r="Q13" s="1506"/>
      <c r="R13" s="1506"/>
      <c r="S13" s="1506"/>
      <c r="T13" s="1507"/>
      <c r="V13" s="4" t="s">
        <v>156</v>
      </c>
      <c r="W13" s="1056" t="s">
        <v>1169</v>
      </c>
      <c r="X13" s="1056"/>
      <c r="Y13" s="1056"/>
      <c r="Z13" s="1056"/>
      <c r="AA13" s="1056"/>
      <c r="AB13" s="1056"/>
      <c r="AC13" s="1056"/>
      <c r="AD13" s="1056"/>
      <c r="AE13" s="1056"/>
      <c r="AF13" s="1056"/>
      <c r="AG13" s="1056"/>
      <c r="AH13" s="1056"/>
      <c r="AI13" s="1056"/>
      <c r="AJ13" s="1056"/>
      <c r="AK13" s="1056"/>
      <c r="AN13" s="22"/>
      <c r="AT13" s="19"/>
    </row>
    <row r="14" spans="1:47" ht="6" customHeight="1">
      <c r="A14" s="54"/>
      <c r="N14" s="1506"/>
      <c r="O14" s="1506"/>
      <c r="P14" s="1506"/>
      <c r="Q14" s="1506"/>
      <c r="R14" s="1506"/>
      <c r="S14" s="1506"/>
      <c r="T14" s="1507"/>
      <c r="V14" s="4"/>
      <c r="W14" s="1056"/>
      <c r="X14" s="1056"/>
      <c r="Y14" s="1056"/>
      <c r="Z14" s="1056"/>
      <c r="AA14" s="1056"/>
      <c r="AB14" s="1056"/>
      <c r="AC14" s="1056"/>
      <c r="AD14" s="1056"/>
      <c r="AE14" s="1056"/>
      <c r="AF14" s="1056"/>
      <c r="AG14" s="1056"/>
      <c r="AH14" s="1056"/>
      <c r="AI14" s="1056"/>
      <c r="AJ14" s="1056"/>
      <c r="AK14" s="1056"/>
      <c r="AL14" s="4"/>
      <c r="AM14" s="4"/>
      <c r="AN14" s="4"/>
      <c r="AO14" s="4"/>
      <c r="AT14" s="19"/>
    </row>
    <row r="15" spans="1:47" ht="24" customHeight="1">
      <c r="A15" s="52"/>
      <c r="B15" s="4" t="s">
        <v>477</v>
      </c>
      <c r="C15" s="8" t="s">
        <v>854</v>
      </c>
      <c r="H15" s="142"/>
      <c r="I15" s="1393"/>
      <c r="J15" s="1472"/>
      <c r="K15" s="8" t="s">
        <v>538</v>
      </c>
      <c r="N15" s="1506"/>
      <c r="O15" s="1506"/>
      <c r="P15" s="1506"/>
      <c r="Q15" s="1506"/>
      <c r="R15" s="1506"/>
      <c r="S15" s="1506"/>
      <c r="T15" s="1507"/>
      <c r="V15" s="4"/>
      <c r="W15" s="1497"/>
      <c r="X15" s="1498"/>
      <c r="Y15" s="4" t="s">
        <v>31</v>
      </c>
      <c r="Z15" s="76" t="s">
        <v>25</v>
      </c>
      <c r="AA15" s="3" t="s">
        <v>1168</v>
      </c>
      <c r="AB15" s="75"/>
      <c r="AC15" s="59"/>
      <c r="AD15" s="59"/>
      <c r="AE15" s="76" t="s">
        <v>107</v>
      </c>
      <c r="AF15" s="967" t="str">
        <f>IF(ISBLANK(W15)," ",W15*7.5/12)</f>
        <v xml:space="preserve"> </v>
      </c>
      <c r="AG15" s="968"/>
      <c r="AH15" s="8" t="s">
        <v>591</v>
      </c>
      <c r="AK15" s="4"/>
      <c r="AL15" s="4"/>
      <c r="AM15" s="4"/>
      <c r="AN15" s="4"/>
      <c r="AO15" s="4"/>
      <c r="AT15" s="19"/>
    </row>
    <row r="16" spans="1:47" ht="6" customHeight="1">
      <c r="A16" s="776"/>
      <c r="B16" s="79"/>
      <c r="C16" s="79"/>
      <c r="D16" s="79"/>
      <c r="E16" s="79"/>
      <c r="F16" s="79"/>
      <c r="G16" s="79"/>
      <c r="H16" s="79"/>
      <c r="I16" s="79"/>
      <c r="J16" s="79"/>
      <c r="K16" s="79"/>
      <c r="L16" s="79"/>
      <c r="M16" s="79"/>
      <c r="N16" s="79"/>
      <c r="O16" s="79"/>
      <c r="P16" s="79"/>
      <c r="Q16" s="51"/>
      <c r="R16" s="51"/>
      <c r="S16" s="51"/>
      <c r="T16" s="605"/>
      <c r="V16" s="4"/>
      <c r="W16" s="4"/>
      <c r="AT16" s="19"/>
    </row>
    <row r="17" spans="1:46" ht="24" customHeight="1">
      <c r="A17" s="1504" t="s">
        <v>848</v>
      </c>
      <c r="B17" s="1134"/>
      <c r="C17" s="1134"/>
      <c r="D17" s="1134"/>
      <c r="E17" s="1134"/>
      <c r="F17" s="1134"/>
      <c r="G17" s="1134"/>
      <c r="H17" s="1134"/>
      <c r="I17" s="1134"/>
      <c r="J17" s="1134"/>
      <c r="K17" s="1134"/>
      <c r="L17" s="1134"/>
      <c r="M17" s="1134"/>
      <c r="N17" s="1134"/>
      <c r="O17" s="1134"/>
      <c r="P17" s="1134"/>
      <c r="Q17" s="1134"/>
      <c r="R17" s="1134"/>
      <c r="S17" s="1134"/>
      <c r="T17" s="1135"/>
      <c r="V17" s="4" t="s">
        <v>476</v>
      </c>
      <c r="W17" s="8" t="s">
        <v>507</v>
      </c>
      <c r="AA17" s="43"/>
      <c r="AB17" s="43"/>
      <c r="AC17" s="70"/>
      <c r="AE17" s="4"/>
      <c r="AF17" s="43"/>
      <c r="AG17" s="43"/>
      <c r="AH17" s="4"/>
      <c r="AL17" s="4"/>
      <c r="AM17" s="4"/>
      <c r="AN17" s="4"/>
      <c r="AO17" s="4"/>
      <c r="AT17" s="19"/>
    </row>
    <row r="18" spans="1:46" ht="18" customHeight="1">
      <c r="A18" s="71">
        <v>3</v>
      </c>
      <c r="B18" s="1056" t="s">
        <v>278</v>
      </c>
      <c r="C18" s="1056"/>
      <c r="D18" s="1056"/>
      <c r="E18" s="1056"/>
      <c r="F18" s="1056"/>
      <c r="G18" s="1056"/>
      <c r="H18" s="1056"/>
      <c r="I18" s="1056"/>
      <c r="J18" s="1056"/>
      <c r="K18" s="1056"/>
      <c r="L18" s="1056"/>
      <c r="M18" s="1056"/>
      <c r="N18" s="1056"/>
      <c r="O18" s="1056"/>
      <c r="P18" s="1056"/>
      <c r="Q18" s="1056"/>
      <c r="R18" s="1056"/>
      <c r="S18" s="1056"/>
      <c r="T18" s="55"/>
      <c r="V18" s="9"/>
      <c r="W18" s="7" t="s">
        <v>508</v>
      </c>
      <c r="AF18" s="1512"/>
      <c r="AG18" s="1513"/>
      <c r="AH18" s="8" t="s">
        <v>99</v>
      </c>
      <c r="AT18" s="19"/>
    </row>
    <row r="19" spans="1:46" ht="18" customHeight="1">
      <c r="A19" s="52"/>
      <c r="B19" s="1056"/>
      <c r="C19" s="1056"/>
      <c r="D19" s="1056"/>
      <c r="E19" s="1056"/>
      <c r="F19" s="1056"/>
      <c r="G19" s="1056"/>
      <c r="H19" s="1056"/>
      <c r="I19" s="1056"/>
      <c r="J19" s="1056"/>
      <c r="K19" s="1056"/>
      <c r="L19" s="1056"/>
      <c r="M19" s="1056"/>
      <c r="N19" s="1056"/>
      <c r="O19" s="1056"/>
      <c r="P19" s="1056"/>
      <c r="Q19" s="1056"/>
      <c r="R19" s="1056"/>
      <c r="S19" s="1056"/>
      <c r="T19" s="55"/>
      <c r="W19" s="7" t="s">
        <v>509</v>
      </c>
      <c r="AD19" s="4"/>
      <c r="AE19" s="4"/>
      <c r="AH19" s="3"/>
      <c r="AI19" s="3"/>
      <c r="AJ19" s="3"/>
      <c r="AT19" s="19"/>
    </row>
    <row r="20" spans="1:46" ht="18" customHeight="1">
      <c r="A20" s="52"/>
      <c r="B20" s="8" t="s">
        <v>878</v>
      </c>
      <c r="Q20" s="8"/>
      <c r="R20" s="8"/>
      <c r="S20" s="8"/>
      <c r="T20" s="55"/>
      <c r="W20" s="998" t="str">
        <f>IF(ISBLANK(AF18)," ",(AF18))</f>
        <v xml:space="preserve"> </v>
      </c>
      <c r="X20" s="999"/>
      <c r="Y20" s="4" t="s">
        <v>99</v>
      </c>
      <c r="Z20" s="76" t="s">
        <v>106</v>
      </c>
      <c r="AA20" s="967">
        <f>IF(ISBLANK(AF15),"",MAX(I13,AF15))</f>
        <v>0</v>
      </c>
      <c r="AB20" s="968"/>
      <c r="AC20" s="8" t="s">
        <v>1170</v>
      </c>
      <c r="AF20" s="967" t="str">
        <f>IF(ISBLANK(AF18)," ",(W20*AA20))</f>
        <v xml:space="preserve"> </v>
      </c>
      <c r="AG20" s="968"/>
      <c r="AH20" s="8" t="s">
        <v>101</v>
      </c>
      <c r="AT20" s="19"/>
    </row>
    <row r="21" spans="1:46" ht="24" customHeight="1">
      <c r="A21" s="54"/>
      <c r="B21" s="22" t="s">
        <v>314</v>
      </c>
      <c r="C21" s="1060"/>
      <c r="D21" s="1062"/>
      <c r="E21" s="76" t="s">
        <v>561</v>
      </c>
      <c r="F21" s="8" t="s">
        <v>592</v>
      </c>
      <c r="H21" s="967" t="str">
        <f>IF(ISBLANK(C21), " ", MAX(I13,AF15))</f>
        <v xml:space="preserve"> </v>
      </c>
      <c r="I21" s="968"/>
      <c r="J21" s="8" t="s">
        <v>157</v>
      </c>
      <c r="M21" s="76" t="s">
        <v>107</v>
      </c>
      <c r="N21" s="961" t="str">
        <f>IF(ISBLANK(C21)," ",((C21+2)*H21))</f>
        <v xml:space="preserve"> </v>
      </c>
      <c r="O21" s="962"/>
      <c r="P21" s="8" t="s">
        <v>101</v>
      </c>
      <c r="Q21" s="8"/>
      <c r="R21" s="8"/>
      <c r="S21" s="8"/>
      <c r="T21" s="55"/>
      <c r="V21" s="9"/>
      <c r="AT21" s="19"/>
    </row>
    <row r="22" spans="1:46" ht="18" customHeight="1">
      <c r="A22" s="71">
        <v>4</v>
      </c>
      <c r="B22" s="1056" t="s">
        <v>1153</v>
      </c>
      <c r="C22" s="1056"/>
      <c r="D22" s="1056"/>
      <c r="E22" s="1056"/>
      <c r="F22" s="1056"/>
      <c r="G22" s="1056"/>
      <c r="H22" s="1056"/>
      <c r="I22" s="1056"/>
      <c r="J22" s="1056"/>
      <c r="K22" s="1056"/>
      <c r="L22" s="1056"/>
      <c r="M22" s="1056"/>
      <c r="T22" s="125"/>
      <c r="V22" s="9"/>
      <c r="AT22" s="19"/>
    </row>
    <row r="23" spans="1:46" ht="24" customHeight="1">
      <c r="A23" s="52"/>
      <c r="B23" s="7" t="s">
        <v>298</v>
      </c>
      <c r="C23" s="246"/>
      <c r="D23" s="246"/>
      <c r="E23" s="246"/>
      <c r="F23" s="246"/>
      <c r="G23" s="246"/>
      <c r="H23" s="246"/>
      <c r="I23" s="246"/>
      <c r="J23" s="246"/>
      <c r="K23" s="246"/>
      <c r="L23" s="246"/>
      <c r="M23" s="246"/>
      <c r="N23" s="961" t="str">
        <f>IF(ISBLANK(C21)," ",MAX('Pres. Dist.'!G70,'Non-Level Pres. Dist.'!K189))</f>
        <v xml:space="preserve"> </v>
      </c>
      <c r="O23" s="962"/>
      <c r="P23" s="8" t="s">
        <v>1184</v>
      </c>
      <c r="Q23" s="8"/>
      <c r="S23" s="8"/>
      <c r="T23" s="55"/>
      <c r="V23" s="9"/>
      <c r="W23" s="4"/>
      <c r="AT23" s="19"/>
    </row>
    <row r="24" spans="1:46" ht="18" customHeight="1">
      <c r="A24" s="71">
        <v>5</v>
      </c>
      <c r="B24" s="8" t="s">
        <v>510</v>
      </c>
      <c r="Q24" s="8"/>
      <c r="R24" s="8"/>
      <c r="S24" s="8"/>
      <c r="T24" s="55"/>
      <c r="V24" s="9"/>
      <c r="W24" s="4"/>
      <c r="AT24" s="19"/>
    </row>
    <row r="25" spans="1:46" ht="24" customHeight="1">
      <c r="A25" s="71"/>
      <c r="B25" s="8" t="s">
        <v>316</v>
      </c>
      <c r="E25" s="998" t="str">
        <f>IF(ISBLANK('Design Summary'!D9)," ",'Design Summary'!D9)</f>
        <v xml:space="preserve"> </v>
      </c>
      <c r="F25" s="999"/>
      <c r="G25" s="4" t="s">
        <v>317</v>
      </c>
      <c r="H25" s="76" t="s">
        <v>106</v>
      </c>
      <c r="I25" s="1141">
        <v>0.25</v>
      </c>
      <c r="J25" s="1141"/>
      <c r="K25" s="76" t="s">
        <v>107</v>
      </c>
      <c r="N25" s="961" t="str">
        <f>IF(ISBLANK(C21)," ",(E25*0.25))</f>
        <v xml:space="preserve"> </v>
      </c>
      <c r="O25" s="962"/>
      <c r="P25" s="8" t="s">
        <v>1183</v>
      </c>
      <c r="Q25" s="35"/>
      <c r="R25" s="35"/>
      <c r="T25" s="125"/>
      <c r="V25" s="4"/>
      <c r="W25" s="4"/>
      <c r="AT25" s="19"/>
    </row>
    <row r="26" spans="1:46" ht="6" customHeight="1">
      <c r="A26" s="71"/>
      <c r="B26" s="36"/>
      <c r="C26" s="36"/>
      <c r="D26" s="36"/>
      <c r="E26" s="36"/>
      <c r="F26" s="36"/>
      <c r="G26" s="36"/>
      <c r="H26" s="36"/>
      <c r="I26" s="36"/>
      <c r="J26" s="36"/>
      <c r="K26" s="36"/>
      <c r="L26" s="36"/>
      <c r="M26" s="36"/>
      <c r="N26" s="36"/>
      <c r="O26" s="36"/>
      <c r="P26" s="36"/>
      <c r="Q26" s="8"/>
      <c r="R26" s="8"/>
      <c r="S26" s="8"/>
      <c r="T26" s="55"/>
      <c r="V26" s="4"/>
      <c r="W26" s="4"/>
      <c r="X26" s="10"/>
      <c r="Y26" s="10"/>
      <c r="Z26" s="10"/>
      <c r="AA26" s="10"/>
      <c r="AB26" s="10"/>
      <c r="AC26" s="10"/>
      <c r="AD26" s="10"/>
      <c r="AE26" s="10"/>
      <c r="AF26" s="10"/>
      <c r="AT26" s="19"/>
    </row>
    <row r="27" spans="1:46" ht="6" customHeight="1">
      <c r="A27" s="824"/>
      <c r="B27" s="57"/>
      <c r="C27" s="57"/>
      <c r="D27" s="57"/>
      <c r="E27" s="146"/>
      <c r="F27" s="57"/>
      <c r="G27" s="57"/>
      <c r="H27" s="57"/>
      <c r="I27" s="57"/>
      <c r="J27" s="57"/>
      <c r="K27" s="57"/>
      <c r="L27" s="57"/>
      <c r="M27" s="57"/>
      <c r="N27" s="57"/>
      <c r="O27" s="825"/>
      <c r="P27" s="57"/>
      <c r="Q27" s="57"/>
      <c r="R27" s="57"/>
      <c r="S27" s="57"/>
      <c r="T27" s="826"/>
      <c r="AT27" s="19"/>
    </row>
    <row r="28" spans="1:46" ht="24" customHeight="1">
      <c r="A28" s="71">
        <v>6</v>
      </c>
      <c r="B28" s="1397" t="s">
        <v>1174</v>
      </c>
      <c r="C28" s="1397"/>
      <c r="D28" s="1397"/>
      <c r="E28" s="1397"/>
      <c r="F28" s="1397"/>
      <c r="G28" s="1397"/>
      <c r="H28" s="1397"/>
      <c r="I28" s="1397"/>
      <c r="J28" s="1397"/>
      <c r="K28" s="1060"/>
      <c r="L28" s="1062"/>
      <c r="M28" s="8" t="s">
        <v>101</v>
      </c>
      <c r="Q28" s="8"/>
      <c r="R28" s="8"/>
      <c r="S28" s="8"/>
      <c r="T28" s="55"/>
      <c r="AT28" s="19"/>
    </row>
    <row r="29" spans="1:46" ht="18" customHeight="1">
      <c r="A29" s="71">
        <v>7</v>
      </c>
      <c r="B29" s="8" t="s">
        <v>1150</v>
      </c>
      <c r="Q29" s="8"/>
      <c r="R29" s="8"/>
      <c r="S29" s="8"/>
      <c r="T29" s="125"/>
      <c r="AT29" s="19"/>
    </row>
    <row r="30" spans="1:46" ht="24" customHeight="1">
      <c r="A30" s="71"/>
      <c r="C30" s="998" t="str">
        <f>IF(ISBLANK(E25)," ",E25)</f>
        <v xml:space="preserve"> </v>
      </c>
      <c r="D30" s="999"/>
      <c r="E30" s="1508" t="s">
        <v>551</v>
      </c>
      <c r="F30" s="1509"/>
      <c r="G30" s="998" t="str">
        <f>IF(ISBLANK(K28)," ",K28)</f>
        <v xml:space="preserve"> </v>
      </c>
      <c r="H30" s="999"/>
      <c r="I30" s="1508" t="s">
        <v>1171</v>
      </c>
      <c r="J30" s="1510"/>
      <c r="K30" s="1197" t="str">
        <f>IF(ISBLANK(C21)," ",ROUNDDOWN((C30/G30),0))</f>
        <v xml:space="preserve"> </v>
      </c>
      <c r="L30" s="1501"/>
      <c r="M30" s="7" t="s">
        <v>562</v>
      </c>
      <c r="O30" s="35"/>
      <c r="P30" s="35"/>
      <c r="Q30" s="44"/>
      <c r="R30" s="44"/>
      <c r="S30" s="137"/>
      <c r="T30" s="125"/>
      <c r="AT30" s="19"/>
    </row>
    <row r="31" spans="1:46" ht="19.899999999999999" customHeight="1">
      <c r="A31" s="71">
        <v>8</v>
      </c>
      <c r="B31" s="8" t="s">
        <v>26</v>
      </c>
      <c r="I31" s="35"/>
      <c r="J31" s="9"/>
      <c r="K31" s="35"/>
      <c r="L31" s="4"/>
      <c r="M31" s="44"/>
      <c r="N31" s="7"/>
      <c r="Q31" s="8"/>
      <c r="R31" s="8"/>
      <c r="S31" s="8"/>
      <c r="T31" s="55"/>
      <c r="AT31" s="19"/>
    </row>
    <row r="32" spans="1:46" ht="24" customHeight="1">
      <c r="A32" s="71"/>
      <c r="B32" s="8" t="s">
        <v>154</v>
      </c>
      <c r="C32" s="7" t="s">
        <v>511</v>
      </c>
      <c r="J32" s="998" t="str">
        <f>IF(ISBLANK(K28),"",('Pump-Basic (1) '!F28))</f>
        <v/>
      </c>
      <c r="K32" s="999"/>
      <c r="L32" s="8" t="s">
        <v>538</v>
      </c>
      <c r="Q32" s="8"/>
      <c r="R32" s="8"/>
      <c r="S32" s="8"/>
      <c r="T32" s="55"/>
      <c r="AT32" s="19"/>
    </row>
    <row r="33" spans="1:46" ht="6" customHeight="1">
      <c r="A33" s="71"/>
      <c r="C33" s="7"/>
      <c r="H33" s="35"/>
      <c r="I33" s="35"/>
      <c r="J33" s="18"/>
      <c r="Q33" s="35"/>
      <c r="R33" s="35"/>
      <c r="S33" s="18"/>
      <c r="T33" s="55"/>
      <c r="AT33" s="19"/>
    </row>
    <row r="34" spans="1:46" ht="24" customHeight="1">
      <c r="A34" s="71"/>
      <c r="B34" s="8" t="s">
        <v>527</v>
      </c>
      <c r="C34" s="8" t="s">
        <v>27</v>
      </c>
      <c r="J34" s="961" t="str">
        <f>IF(ISBLANK(K28),"",'Pump-Basic (1) '!F30)</f>
        <v/>
      </c>
      <c r="K34" s="999"/>
      <c r="L34" s="8" t="s">
        <v>525</v>
      </c>
      <c r="Q34" s="35"/>
      <c r="R34" s="35"/>
      <c r="S34" s="18"/>
      <c r="T34" s="55"/>
      <c r="AT34" s="19"/>
    </row>
    <row r="35" spans="1:46" ht="6" customHeight="1">
      <c r="A35" s="71"/>
      <c r="C35" s="224"/>
      <c r="D35" s="224"/>
      <c r="E35" s="76"/>
      <c r="F35" s="224"/>
      <c r="G35" s="224"/>
      <c r="H35" s="227"/>
      <c r="J35" s="266"/>
      <c r="K35" s="267"/>
      <c r="N35" s="7"/>
      <c r="Q35" s="8"/>
      <c r="R35" s="8"/>
      <c r="S35" s="8"/>
      <c r="T35" s="55"/>
      <c r="AT35" s="19"/>
    </row>
    <row r="36" spans="1:46" ht="24" customHeight="1">
      <c r="A36" s="71"/>
      <c r="B36" s="8" t="s">
        <v>156</v>
      </c>
      <c r="C36" s="7" t="s">
        <v>512</v>
      </c>
      <c r="H36" s="227"/>
      <c r="I36" s="224"/>
      <c r="J36" s="1502" t="str">
        <f>IF(ISBLANK(C21)," ",IF(J32=1,"0.045",IF(J32=1.25,"0.078",IF(J32=1.5,"0.110",IF(J32=2,"0.170",IF(J32=3,"0.380"))))))</f>
        <v xml:space="preserve"> </v>
      </c>
      <c r="K36" s="1503"/>
      <c r="L36" s="8" t="s">
        <v>559</v>
      </c>
      <c r="M36" s="44"/>
      <c r="N36" s="7"/>
      <c r="Q36" s="8"/>
      <c r="R36" s="8"/>
      <c r="S36" s="8"/>
      <c r="T36" s="55"/>
      <c r="AT36" s="19"/>
    </row>
    <row r="37" spans="1:46" ht="18" customHeight="1">
      <c r="A37" s="71"/>
      <c r="B37" s="8" t="s">
        <v>476</v>
      </c>
      <c r="C37" s="7" t="s">
        <v>513</v>
      </c>
      <c r="I37" s="35"/>
      <c r="J37" s="9"/>
      <c r="K37" s="9"/>
      <c r="L37" s="4"/>
      <c r="M37" s="44"/>
      <c r="N37" s="7"/>
      <c r="Q37" s="8"/>
      <c r="R37" s="8"/>
      <c r="S37" s="8"/>
      <c r="T37" s="55"/>
      <c r="AH37" s="13"/>
      <c r="AI37" s="13"/>
      <c r="AK37" s="6"/>
      <c r="AL37" s="6"/>
      <c r="AT37" s="19"/>
    </row>
    <row r="38" spans="1:46" ht="24" customHeight="1">
      <c r="A38" s="71"/>
      <c r="C38" s="998" t="str">
        <f>IF(ISBLANK(J32),"",J34)</f>
        <v/>
      </c>
      <c r="D38" s="999"/>
      <c r="E38" s="76" t="s">
        <v>127</v>
      </c>
      <c r="F38" s="998" t="str">
        <f>J36</f>
        <v xml:space="preserve"> </v>
      </c>
      <c r="G38" s="999"/>
      <c r="H38" s="227" t="s">
        <v>1172</v>
      </c>
      <c r="J38" s="967" t="str">
        <f>IF(ISBLANK(C21),"",C38*F38)</f>
        <v/>
      </c>
      <c r="K38" s="1500"/>
      <c r="L38" s="8" t="s">
        <v>101</v>
      </c>
      <c r="N38" s="7"/>
      <c r="Q38" s="8"/>
      <c r="R38" s="8"/>
      <c r="S38" s="8"/>
      <c r="T38" s="55"/>
      <c r="AT38" s="19"/>
    </row>
    <row r="39" spans="1:46" ht="18" customHeight="1">
      <c r="A39" s="71" t="s">
        <v>104</v>
      </c>
      <c r="B39" s="7" t="s">
        <v>1151</v>
      </c>
      <c r="I39" s="35"/>
      <c r="J39" s="9"/>
      <c r="K39" s="35"/>
      <c r="L39" s="4"/>
      <c r="M39" s="44"/>
      <c r="N39" s="7"/>
      <c r="Q39" s="8"/>
      <c r="R39" s="8"/>
      <c r="S39" s="8"/>
      <c r="T39" s="55"/>
      <c r="AT39" s="19"/>
    </row>
    <row r="40" spans="1:46" ht="24" customHeight="1">
      <c r="A40" s="71"/>
      <c r="C40" s="998" t="str">
        <f>IF(ISBLANK(K28), " ", K28)</f>
        <v xml:space="preserve"> </v>
      </c>
      <c r="D40" s="999"/>
      <c r="E40" s="76" t="s">
        <v>564</v>
      </c>
      <c r="F40" s="967" t="str">
        <f>J38</f>
        <v/>
      </c>
      <c r="G40" s="999"/>
      <c r="H40" s="76" t="s">
        <v>565</v>
      </c>
      <c r="I40" s="961" t="str">
        <f>IF(ISBLANK(C21),"",C40+F40)</f>
        <v/>
      </c>
      <c r="J40" s="962"/>
      <c r="K40" s="8" t="s">
        <v>101</v>
      </c>
      <c r="L40" s="4"/>
      <c r="M40" s="44"/>
      <c r="N40" s="7"/>
      <c r="Q40" s="8"/>
      <c r="R40" s="8"/>
      <c r="S40" s="8"/>
      <c r="T40" s="55"/>
      <c r="AT40" s="19"/>
    </row>
    <row r="41" spans="1:46" ht="18" customHeight="1">
      <c r="A41" s="71" t="s">
        <v>108</v>
      </c>
      <c r="B41" s="8" t="s">
        <v>849</v>
      </c>
      <c r="C41" s="188"/>
      <c r="D41" s="188"/>
      <c r="E41" s="76"/>
      <c r="F41" s="142"/>
      <c r="G41" s="188"/>
      <c r="H41" s="76"/>
      <c r="I41" s="142"/>
      <c r="J41" s="142"/>
      <c r="L41" s="4"/>
      <c r="M41" s="44"/>
      <c r="N41" s="7"/>
      <c r="Q41" s="8"/>
      <c r="R41" s="8"/>
      <c r="S41" s="8"/>
      <c r="T41" s="55"/>
      <c r="AH41" s="13"/>
      <c r="AI41" s="13"/>
      <c r="AK41" s="6"/>
      <c r="AL41" s="6"/>
      <c r="AT41" s="19"/>
    </row>
    <row r="42" spans="1:46" ht="24" customHeight="1">
      <c r="A42" s="71"/>
      <c r="C42" s="1060"/>
      <c r="D42" s="1062"/>
      <c r="E42" s="227" t="s">
        <v>296</v>
      </c>
      <c r="F42" s="967" t="str">
        <f>IF(ISBLANK(C21), " ", MAX(I13,AF15))</f>
        <v xml:space="preserve"> </v>
      </c>
      <c r="G42" s="1414"/>
      <c r="H42" s="227" t="s">
        <v>1173</v>
      </c>
      <c r="J42" s="967" t="str">
        <f>IF(ISBLANK(C42), "",C42*F42)</f>
        <v/>
      </c>
      <c r="K42" s="1414"/>
      <c r="L42" s="8" t="s">
        <v>101</v>
      </c>
      <c r="Q42" s="8"/>
      <c r="R42" s="8"/>
      <c r="S42" s="8"/>
      <c r="T42" s="55"/>
      <c r="AH42" s="13"/>
      <c r="AI42" s="13"/>
      <c r="AK42" s="6"/>
      <c r="AL42" s="6"/>
      <c r="AT42" s="19"/>
    </row>
    <row r="43" spans="1:46" ht="6" customHeight="1">
      <c r="A43" s="471"/>
      <c r="B43" s="79"/>
      <c r="C43" s="203"/>
      <c r="D43" s="203"/>
      <c r="E43" s="827"/>
      <c r="F43" s="828"/>
      <c r="G43" s="203"/>
      <c r="H43" s="827"/>
      <c r="I43" s="828"/>
      <c r="J43" s="828"/>
      <c r="K43" s="79"/>
      <c r="L43" s="51"/>
      <c r="M43" s="829"/>
      <c r="N43" s="830"/>
      <c r="O43" s="79"/>
      <c r="P43" s="79"/>
      <c r="Q43" s="79"/>
      <c r="R43" s="79"/>
      <c r="S43" s="79"/>
      <c r="T43" s="132"/>
      <c r="AH43" s="13"/>
      <c r="AI43" s="13"/>
      <c r="AK43" s="6"/>
      <c r="AL43" s="6"/>
      <c r="AT43" s="19"/>
    </row>
    <row r="44" spans="1:46" ht="24" customHeight="1">
      <c r="A44" s="773" t="s">
        <v>1254</v>
      </c>
      <c r="B44" s="387"/>
      <c r="C44" s="387"/>
      <c r="D44" s="387"/>
      <c r="E44" s="387"/>
      <c r="F44" s="387"/>
      <c r="G44" s="387"/>
      <c r="H44" s="387"/>
      <c r="I44" s="387"/>
      <c r="J44" s="387"/>
      <c r="K44" s="387"/>
      <c r="L44" s="387"/>
      <c r="M44" s="387"/>
      <c r="N44" s="387"/>
      <c r="O44" s="387"/>
      <c r="P44" s="387"/>
      <c r="Q44" s="387"/>
      <c r="R44" s="387"/>
      <c r="S44" s="387"/>
      <c r="T44" s="772"/>
      <c r="AH44" s="13"/>
      <c r="AI44" s="13"/>
      <c r="AK44" s="6"/>
      <c r="AL44" s="6"/>
      <c r="AT44" s="19"/>
    </row>
    <row r="45" spans="1:46" ht="19.899999999999999" customHeight="1">
      <c r="A45" s="71" t="s">
        <v>110</v>
      </c>
      <c r="B45" s="8" t="s">
        <v>519</v>
      </c>
      <c r="T45" s="125"/>
      <c r="AH45" s="13"/>
      <c r="AI45" s="13"/>
      <c r="AK45" s="6"/>
      <c r="AL45" s="6"/>
      <c r="AT45" s="19"/>
    </row>
    <row r="46" spans="1:46" ht="18" customHeight="1">
      <c r="A46" s="52"/>
      <c r="B46" s="7" t="s">
        <v>855</v>
      </c>
      <c r="T46" s="125"/>
    </row>
    <row r="47" spans="1:46" ht="24" customHeight="1">
      <c r="A47" s="52"/>
      <c r="C47" s="961" t="str">
        <f>I40</f>
        <v/>
      </c>
      <c r="D47" s="962"/>
      <c r="E47" s="1508" t="s">
        <v>1175</v>
      </c>
      <c r="F47" s="1509"/>
      <c r="G47" s="967">
        <f>I13</f>
        <v>0</v>
      </c>
      <c r="H47" s="968"/>
      <c r="I47" s="1141" t="s">
        <v>259</v>
      </c>
      <c r="J47" s="1141"/>
      <c r="K47" s="967" t="str">
        <f>IF(ISBLANK(C21),"",C47/G47)</f>
        <v/>
      </c>
      <c r="L47" s="968"/>
      <c r="M47" s="8" t="s">
        <v>151</v>
      </c>
      <c r="T47" s="55"/>
    </row>
    <row r="48" spans="1:46" ht="19.899999999999999" customHeight="1" thickBot="1">
      <c r="A48" s="71" t="s">
        <v>115</v>
      </c>
      <c r="B48" s="133" t="s">
        <v>319</v>
      </c>
      <c r="C48" s="35"/>
      <c r="D48" s="35"/>
      <c r="E48" s="9"/>
      <c r="F48" s="43"/>
      <c r="G48" s="35"/>
      <c r="H48" s="4"/>
      <c r="I48" s="37"/>
      <c r="N48" s="8" t="s">
        <v>1022</v>
      </c>
      <c r="P48" s="601" t="str">
        <f>K47</f>
        <v/>
      </c>
      <c r="Q48" s="8" t="s">
        <v>99</v>
      </c>
      <c r="R48" s="8"/>
      <c r="S48" s="8"/>
      <c r="T48" s="55"/>
      <c r="AL48" s="6"/>
      <c r="AT48" s="19"/>
    </row>
    <row r="49" spans="1:35" ht="18" customHeight="1">
      <c r="A49" s="52" t="s">
        <v>154</v>
      </c>
      <c r="B49" s="7" t="s">
        <v>1152</v>
      </c>
      <c r="C49" s="36"/>
      <c r="D49" s="36"/>
      <c r="E49" s="36"/>
      <c r="F49" s="36"/>
      <c r="G49" s="36"/>
      <c r="H49" s="36"/>
      <c r="I49" s="36"/>
      <c r="J49" s="36"/>
      <c r="K49" s="36"/>
      <c r="N49" s="4"/>
      <c r="P49" s="6"/>
      <c r="Q49" s="8"/>
      <c r="S49" s="8"/>
      <c r="T49" s="55"/>
      <c r="AG49" s="6"/>
      <c r="AH49" s="13"/>
      <c r="AI49" s="13"/>
    </row>
    <row r="50" spans="1:35" ht="24" customHeight="1" thickBot="1">
      <c r="A50" s="52"/>
      <c r="C50" s="998">
        <f>C21</f>
        <v>0</v>
      </c>
      <c r="D50" s="999"/>
      <c r="E50" s="76" t="s">
        <v>260</v>
      </c>
      <c r="G50" s="961">
        <f>C42</f>
        <v>0</v>
      </c>
      <c r="H50" s="962"/>
      <c r="I50" s="76" t="s">
        <v>261</v>
      </c>
      <c r="J50" s="961">
        <f>C50+G50</f>
        <v>0</v>
      </c>
      <c r="K50" s="962"/>
      <c r="L50" s="8" t="s">
        <v>151</v>
      </c>
      <c r="M50" s="4"/>
      <c r="N50" s="1" t="s">
        <v>30</v>
      </c>
      <c r="O50" s="1"/>
      <c r="P50" s="629" t="str">
        <f>J54</f>
        <v/>
      </c>
      <c r="Q50" s="34" t="s">
        <v>99</v>
      </c>
      <c r="S50" s="8"/>
      <c r="T50" s="55"/>
      <c r="AG50" s="6"/>
      <c r="AH50" s="13"/>
      <c r="AI50" s="13"/>
    </row>
    <row r="51" spans="1:35" ht="18" customHeight="1" thickBot="1">
      <c r="A51" s="52" t="s">
        <v>527</v>
      </c>
      <c r="B51" s="5" t="s">
        <v>857</v>
      </c>
      <c r="C51" s="412"/>
      <c r="D51" s="412"/>
      <c r="E51" s="412"/>
      <c r="F51" s="412"/>
      <c r="G51" s="412"/>
      <c r="H51" s="412"/>
      <c r="I51" s="412"/>
      <c r="J51" s="412"/>
      <c r="K51" s="412"/>
      <c r="L51" s="75"/>
      <c r="M51" s="75"/>
      <c r="N51" s="8" t="s">
        <v>28</v>
      </c>
      <c r="P51" s="630" t="str">
        <f>J52</f>
        <v/>
      </c>
      <c r="Q51" s="8" t="s">
        <v>99</v>
      </c>
      <c r="R51" s="845" t="str">
        <f>J42</f>
        <v/>
      </c>
      <c r="S51" s="613" t="str">
        <f>"Gal"</f>
        <v>Gal</v>
      </c>
      <c r="T51" s="248"/>
    </row>
    <row r="52" spans="1:35" ht="24" customHeight="1" thickBot="1">
      <c r="A52" s="127"/>
      <c r="C52" s="961">
        <f>J50</f>
        <v>0</v>
      </c>
      <c r="D52" s="999"/>
      <c r="E52" s="76" t="s">
        <v>260</v>
      </c>
      <c r="G52" s="967" t="str">
        <f>K47</f>
        <v/>
      </c>
      <c r="H52" s="999"/>
      <c r="I52" s="76" t="s">
        <v>261</v>
      </c>
      <c r="J52" s="961" t="str">
        <f>IF(ISBLANK(C21),"",C52+G52)</f>
        <v/>
      </c>
      <c r="K52" s="962"/>
      <c r="L52" s="8" t="s">
        <v>151</v>
      </c>
      <c r="N52" s="8" t="s">
        <v>29</v>
      </c>
      <c r="P52" s="630">
        <f>J50</f>
        <v>0</v>
      </c>
      <c r="Q52" s="8" t="s">
        <v>99</v>
      </c>
      <c r="R52" s="613" t="str">
        <f>C47</f>
        <v/>
      </c>
      <c r="S52" s="613" t="str">
        <f>"Gal"</f>
        <v>Gal</v>
      </c>
      <c r="T52" s="55"/>
    </row>
    <row r="53" spans="1:35" ht="18" customHeight="1">
      <c r="A53" s="52" t="s">
        <v>156</v>
      </c>
      <c r="B53" s="7" t="s">
        <v>858</v>
      </c>
      <c r="C53" s="36"/>
      <c r="D53" s="36"/>
      <c r="E53" s="36"/>
      <c r="F53" s="36"/>
      <c r="G53" s="36"/>
      <c r="H53" s="36"/>
      <c r="I53" s="36"/>
      <c r="J53" s="36"/>
      <c r="K53" s="36"/>
      <c r="Q53" s="1511" t="str">
        <f>IF(ISBLANK(C21),"",(J50*H21))</f>
        <v/>
      </c>
      <c r="R53" s="1511"/>
      <c r="S53" s="613" t="str">
        <f>"Gal"</f>
        <v>Gal</v>
      </c>
      <c r="T53" s="55"/>
    </row>
    <row r="54" spans="1:35" ht="24" customHeight="1">
      <c r="A54" s="52"/>
      <c r="C54" s="961" t="str">
        <f>J52</f>
        <v/>
      </c>
      <c r="D54" s="962"/>
      <c r="E54" s="76" t="s">
        <v>260</v>
      </c>
      <c r="G54" s="967">
        <f>G50</f>
        <v>0</v>
      </c>
      <c r="H54" s="968"/>
      <c r="I54" s="228" t="s">
        <v>262</v>
      </c>
      <c r="J54" s="961" t="str">
        <f>IF(ISBLANK(C21),"",C54+G54)</f>
        <v/>
      </c>
      <c r="K54" s="962"/>
      <c r="L54" s="8" t="s">
        <v>151</v>
      </c>
      <c r="Q54" s="8"/>
      <c r="R54" s="8"/>
      <c r="S54" s="8"/>
      <c r="T54" s="55"/>
    </row>
    <row r="55" spans="1:35" ht="6" customHeight="1">
      <c r="A55" s="138"/>
      <c r="B55" s="848"/>
      <c r="C55" s="848"/>
      <c r="D55" s="827"/>
      <c r="E55" s="828"/>
      <c r="F55" s="828"/>
      <c r="G55" s="849"/>
      <c r="H55" s="848"/>
      <c r="I55" s="79"/>
      <c r="J55" s="79"/>
      <c r="K55" s="79"/>
      <c r="L55" s="79"/>
      <c r="M55" s="79"/>
      <c r="N55" s="79"/>
      <c r="O55" s="79"/>
      <c r="P55" s="79"/>
      <c r="Q55" s="79"/>
      <c r="R55" s="79"/>
      <c r="S55" s="79"/>
      <c r="T55" s="132"/>
    </row>
    <row r="56" spans="1:35" ht="6" customHeight="1"/>
    <row r="57" spans="1:35" ht="18" customHeight="1">
      <c r="K57" s="1"/>
      <c r="L57" s="16"/>
      <c r="M57" s="1"/>
      <c r="N57" s="1"/>
      <c r="O57" s="1"/>
      <c r="P57" s="1"/>
      <c r="Q57" s="1"/>
    </row>
    <row r="58" spans="1:35" ht="18" customHeight="1">
      <c r="K58" s="15"/>
      <c r="L58" s="15"/>
      <c r="M58" s="15"/>
      <c r="N58" s="15"/>
      <c r="O58" s="24"/>
      <c r="Q58" s="15"/>
    </row>
    <row r="59" spans="1:35" ht="18" customHeight="1"/>
    <row r="60" spans="1:35" ht="19.899999999999999" customHeight="1"/>
    <row r="61" spans="1:35" ht="18" customHeight="1">
      <c r="A61" s="16"/>
      <c r="B61" s="16"/>
      <c r="C61" s="17"/>
      <c r="D61" s="16"/>
      <c r="E61" s="1"/>
      <c r="F61" s="16"/>
      <c r="G61" s="16"/>
      <c r="H61" s="1"/>
      <c r="I61" s="16"/>
      <c r="J61" s="16"/>
      <c r="R61" s="1"/>
      <c r="S61" s="1"/>
      <c r="T61" s="1"/>
    </row>
    <row r="62" spans="1:35" ht="18" customHeight="1">
      <c r="A62" s="1"/>
      <c r="B62" s="1"/>
      <c r="D62" s="4"/>
      <c r="E62" s="4"/>
      <c r="F62" s="4"/>
      <c r="G62" s="4"/>
      <c r="H62" s="4"/>
      <c r="I62" s="3"/>
      <c r="R62" s="15"/>
      <c r="S62" s="15"/>
      <c r="T62" s="15"/>
    </row>
    <row r="63" spans="1:35" ht="19.899999999999999" customHeight="1"/>
    <row r="64" spans="1:35" ht="18" customHeight="1"/>
    <row r="65" ht="19.899999999999999" customHeight="1"/>
    <row r="66" ht="18" customHeight="1"/>
    <row r="67" ht="19.899999999999999" customHeight="1"/>
    <row r="68" ht="6" customHeight="1"/>
    <row r="69" ht="18" customHeight="1"/>
    <row r="70" ht="19.5" customHeight="1"/>
    <row r="71" ht="19.5" customHeight="1"/>
    <row r="72" ht="19.5" customHeight="1"/>
    <row r="73" ht="19.5" customHeight="1"/>
    <row r="74" ht="17.25" customHeight="1"/>
    <row r="75" ht="24" customHeight="1"/>
    <row r="76" ht="19.5" customHeight="1"/>
    <row r="77" ht="19.5" customHeight="1"/>
    <row r="78" ht="19.5" customHeight="1"/>
    <row r="79" ht="18" customHeight="1"/>
    <row r="80" ht="18" customHeight="1"/>
    <row r="81" spans="21:22" ht="18" customHeight="1"/>
    <row r="82" spans="21:22" ht="18" customHeight="1"/>
    <row r="83" spans="21:22" ht="18" customHeight="1"/>
    <row r="84" spans="21:22" ht="18" customHeight="1">
      <c r="U84" s="15"/>
      <c r="V84" s="15"/>
    </row>
    <row r="85" spans="21:22" ht="35.1" customHeight="1">
      <c r="U85" s="15"/>
      <c r="V85" s="15"/>
    </row>
    <row r="86" spans="21:22" ht="35.1" customHeight="1">
      <c r="U86" s="15"/>
      <c r="V86" s="15"/>
    </row>
    <row r="87" spans="21:22" ht="35.1" customHeight="1">
      <c r="U87" s="15"/>
      <c r="V87" s="15"/>
    </row>
    <row r="88" spans="21:22" ht="35.1" customHeight="1">
      <c r="U88" s="69"/>
      <c r="V88" s="1"/>
    </row>
    <row r="89" spans="21:22" ht="35.1" customHeight="1">
      <c r="U89" s="69"/>
      <c r="V89" s="1"/>
    </row>
    <row r="90" spans="21:22" ht="35.1" customHeight="1">
      <c r="U90" s="15"/>
      <c r="V90" s="1"/>
    </row>
  </sheetData>
  <sheetProtection sheet="1" objects="1" scenarios="1"/>
  <customSheetViews>
    <customSheetView guid="{3320ADAB-1745-4CE0-B739-BF2E8269138B}" scale="75" showGridLines="0" fitToPage="1" showRuler="0">
      <selection sqref="A1:L5"/>
      <pageMargins left="0.4" right="0.75" top="0.4" bottom="0.4" header="0.5" footer="0.4"/>
      <printOptions horizontalCentered="1"/>
      <pageSetup scale="44" orientation="portrait" r:id="rId1"/>
      <headerFooter alignWithMargins="0"/>
    </customSheetView>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2"/>
      <headerFooter alignWithMargins="0"/>
    </customSheetView>
  </customSheetViews>
  <mergeCells count="69">
    <mergeCell ref="AF20:AG20"/>
    <mergeCell ref="AF18:AG18"/>
    <mergeCell ref="C21:D21"/>
    <mergeCell ref="J34:K34"/>
    <mergeCell ref="F40:G40"/>
    <mergeCell ref="J32:K32"/>
    <mergeCell ref="AE6:AF6"/>
    <mergeCell ref="AE11:AF11"/>
    <mergeCell ref="Z11:AA11"/>
    <mergeCell ref="W6:X6"/>
    <mergeCell ref="W15:X15"/>
    <mergeCell ref="Q53:R53"/>
    <mergeCell ref="J50:K5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N23:O23"/>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N25:O25"/>
    <mergeCell ref="C38:D38"/>
    <mergeCell ref="G52:H52"/>
    <mergeCell ref="C40:D40"/>
    <mergeCell ref="I25:J25"/>
    <mergeCell ref="C30:D30"/>
    <mergeCell ref="C42:D42"/>
    <mergeCell ref="F1:M1"/>
    <mergeCell ref="I15:J15"/>
    <mergeCell ref="J38:K38"/>
    <mergeCell ref="K30:L30"/>
    <mergeCell ref="K28:L28"/>
    <mergeCell ref="J36:K36"/>
    <mergeCell ref="B22:M22"/>
    <mergeCell ref="H21:I21"/>
    <mergeCell ref="I6:J6"/>
    <mergeCell ref="F38:G38"/>
    <mergeCell ref="A17:T17"/>
    <mergeCell ref="E25:F25"/>
    <mergeCell ref="R6:S6"/>
    <mergeCell ref="F9:J9"/>
    <mergeCell ref="N9:R9"/>
    <mergeCell ref="N11:T15"/>
    <mergeCell ref="L2:M2"/>
    <mergeCell ref="B2:K2"/>
    <mergeCell ref="N2:O2"/>
    <mergeCell ref="I4:J4"/>
    <mergeCell ref="AA6:AB6"/>
  </mergeCells>
  <phoneticPr fontId="17" type="noConversion"/>
  <dataValidations count="3">
    <dataValidation type="list" allowBlank="1" showInputMessage="1" showErrorMessage="1" sqref="C42:D42" xr:uid="{00000000-0002-0000-0D00-000000000000}">
      <formula1>DepthAlarm</formula1>
    </dataValidation>
    <dataValidation type="list" allowBlank="1" showInputMessage="1" showErrorMessage="1" sqref="H33" xr:uid="{00000000-0002-0000-0D00-000001000000}">
      <formula1>$AK$41:$AK$45</formula1>
    </dataValidation>
    <dataValidation type="whole" allowBlank="1" showInputMessage="1" showErrorMessage="1" error="Must be between Min and Max" sqref="K28:L28" xr:uid="{00000000-0002-0000-0D00-000002000000}">
      <formula1>N23-1</formula1>
      <formula2>N25</formula2>
    </dataValidation>
  </dataValidations>
  <printOptions horizontalCentered="1"/>
  <pageMargins left="0.4" right="0.44" top="0.4" bottom="0.4" header="0.5" footer="0.4"/>
  <pageSetup scale="69" fitToHeight="3" orientation="portrait" blackAndWhite="1"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FF6600"/>
    <pageSetUpPr fitToPage="1"/>
  </sheetPr>
  <dimension ref="A1:AU76"/>
  <sheetViews>
    <sheetView view="pageBreakPreview" zoomScaleNormal="100" zoomScaleSheetLayoutView="100" workbookViewId="0">
      <selection activeCell="N34" sqref="N34"/>
    </sheetView>
  </sheetViews>
  <sheetFormatPr defaultColWidth="6.7109375" defaultRowHeight="35.1" customHeight="1"/>
  <cols>
    <col min="1" max="1" width="3.7109375" style="8" customWidth="1"/>
    <col min="2" max="16" width="7.28515625" style="8" customWidth="1"/>
    <col min="17" max="20" width="7.28515625" style="4" customWidth="1"/>
    <col min="21" max="34" width="6.7109375" style="8" customWidth="1"/>
    <col min="35" max="16384" width="6.7109375" style="8"/>
  </cols>
  <sheetData>
    <row r="1" spans="1:47" ht="69.599999999999994" customHeight="1">
      <c r="B1" s="216"/>
      <c r="C1" s="216"/>
      <c r="D1" s="216"/>
      <c r="F1" s="1499" t="s">
        <v>1308</v>
      </c>
      <c r="G1" s="1499"/>
      <c r="H1" s="1499"/>
      <c r="I1" s="1499"/>
      <c r="J1" s="1499"/>
      <c r="K1" s="1499"/>
      <c r="L1" s="1499"/>
      <c r="M1" s="1499"/>
      <c r="N1" s="844"/>
      <c r="O1" s="844"/>
      <c r="P1" s="822"/>
      <c r="Q1" s="822"/>
      <c r="R1" s="822"/>
      <c r="S1" s="822"/>
      <c r="T1" s="822"/>
      <c r="V1" s="18"/>
      <c r="X1" s="18"/>
      <c r="Y1" s="18"/>
      <c r="Z1" s="18"/>
      <c r="AA1" s="18"/>
      <c r="AB1" s="18"/>
      <c r="AC1" s="18"/>
      <c r="AD1" s="48"/>
      <c r="AE1" s="48"/>
      <c r="AF1" s="20"/>
      <c r="AG1" s="20"/>
      <c r="AH1" s="18"/>
      <c r="AI1" s="18"/>
      <c r="AJ1" s="18"/>
      <c r="AK1" s="18"/>
      <c r="AL1" s="18"/>
      <c r="AM1" s="18"/>
      <c r="AN1" s="18"/>
      <c r="AO1" s="22"/>
    </row>
    <row r="2" spans="1:47" ht="24" customHeight="1">
      <c r="A2" s="773"/>
      <c r="B2" s="1134" t="s">
        <v>847</v>
      </c>
      <c r="C2" s="1134"/>
      <c r="D2" s="1134"/>
      <c r="E2" s="1134"/>
      <c r="F2" s="1134"/>
      <c r="G2" s="1134"/>
      <c r="H2" s="1134"/>
      <c r="I2" s="1134"/>
      <c r="J2" s="1134"/>
      <c r="K2" s="1134"/>
      <c r="L2" s="1198" t="s">
        <v>832</v>
      </c>
      <c r="M2" s="1198"/>
      <c r="N2" s="1496" t="str">
        <f>IF(ISBLANK('Design Summary'!Q3)," ",'Design Summary'!Q3)</f>
        <v xml:space="preserve"> </v>
      </c>
      <c r="O2" s="1496"/>
      <c r="P2" s="387"/>
      <c r="Q2" s="387"/>
      <c r="R2" s="387"/>
      <c r="S2" s="387"/>
      <c r="T2" s="404" t="str">
        <f>'Drop-Down Lists'!$J40</f>
        <v>v 04.20.2016</v>
      </c>
      <c r="V2" s="841"/>
      <c r="W2" s="18" t="s">
        <v>876</v>
      </c>
      <c r="AH2" s="18"/>
      <c r="AI2" s="18"/>
      <c r="AJ2" s="18"/>
      <c r="AK2" s="18"/>
      <c r="AL2" s="18"/>
      <c r="AM2" s="18"/>
      <c r="AN2" s="18"/>
      <c r="AO2" s="18"/>
      <c r="AT2" s="19"/>
      <c r="AU2" s="19"/>
    </row>
    <row r="3" spans="1:47" ht="6" customHeight="1">
      <c r="A3" s="200"/>
      <c r="B3" s="135"/>
      <c r="C3" s="135"/>
      <c r="D3" s="135"/>
      <c r="E3" s="135"/>
      <c r="F3" s="135"/>
      <c r="G3" s="135"/>
      <c r="H3" s="135"/>
      <c r="I3" s="135" t="s">
        <v>721</v>
      </c>
      <c r="J3" s="135"/>
      <c r="K3" s="135"/>
      <c r="L3" s="135"/>
      <c r="M3" s="135"/>
      <c r="N3" s="135"/>
      <c r="O3" s="135"/>
      <c r="P3" s="135"/>
      <c r="Q3" s="135"/>
      <c r="R3" s="135"/>
      <c r="S3" s="135"/>
      <c r="T3" s="774"/>
      <c r="AL3" s="4"/>
      <c r="AM3" s="4"/>
      <c r="AN3" s="4"/>
      <c r="AO3" s="4"/>
      <c r="AT3" s="19"/>
      <c r="AU3" s="19"/>
    </row>
    <row r="4" spans="1:47" ht="24" customHeight="1">
      <c r="A4" s="124" t="s">
        <v>93</v>
      </c>
      <c r="B4" s="476" t="s">
        <v>154</v>
      </c>
      <c r="C4" s="491" t="s">
        <v>679</v>
      </c>
      <c r="D4" s="450"/>
      <c r="E4" s="450"/>
      <c r="F4" s="450"/>
      <c r="G4" s="450"/>
      <c r="I4" s="986" t="str">
        <f>IF(ISBLANK('Design Summary'!D9),"",'Design Summary'!D9)</f>
        <v/>
      </c>
      <c r="J4" s="1268"/>
      <c r="K4" s="450" t="s">
        <v>317</v>
      </c>
      <c r="L4" s="18"/>
      <c r="M4" s="18"/>
      <c r="N4" s="18"/>
      <c r="O4" s="18"/>
      <c r="P4" s="18"/>
      <c r="Q4" s="18"/>
      <c r="R4" s="18"/>
      <c r="S4" s="18"/>
      <c r="T4" s="775"/>
      <c r="V4" s="4" t="s">
        <v>154</v>
      </c>
      <c r="W4" s="8" t="s">
        <v>155</v>
      </c>
      <c r="AL4" s="4"/>
      <c r="AM4" s="4"/>
      <c r="AN4" s="4"/>
      <c r="AO4" s="4"/>
      <c r="AT4" s="19"/>
      <c r="AU4" s="19"/>
    </row>
    <row r="5" spans="1:47" ht="6" customHeight="1">
      <c r="A5" s="199"/>
      <c r="B5" s="18"/>
      <c r="C5" s="18"/>
      <c r="D5" s="18"/>
      <c r="E5" s="18"/>
      <c r="F5" s="18"/>
      <c r="G5" s="18"/>
      <c r="H5" s="18"/>
      <c r="L5" s="18"/>
      <c r="M5" s="18"/>
      <c r="N5" s="18"/>
      <c r="O5" s="18"/>
      <c r="P5" s="18"/>
      <c r="Q5" s="18"/>
      <c r="R5" s="18"/>
      <c r="S5" s="18"/>
      <c r="T5" s="775"/>
      <c r="AL5" s="4"/>
      <c r="AM5" s="4"/>
      <c r="AN5" s="4"/>
      <c r="AO5" s="4"/>
      <c r="AT5" s="19"/>
      <c r="AU5" s="19"/>
    </row>
    <row r="6" spans="1:47" ht="24" customHeight="1">
      <c r="A6" s="199"/>
      <c r="B6" s="4" t="s">
        <v>527</v>
      </c>
      <c r="C6" s="8" t="s">
        <v>1166</v>
      </c>
      <c r="I6" s="1148"/>
      <c r="J6" s="1149"/>
      <c r="K6" s="8" t="s">
        <v>633</v>
      </c>
      <c r="L6" s="8" t="s">
        <v>1167</v>
      </c>
      <c r="Q6" s="8"/>
      <c r="R6" s="1148"/>
      <c r="S6" s="1149"/>
      <c r="T6" s="628" t="s">
        <v>633</v>
      </c>
      <c r="W6" s="1497"/>
      <c r="X6" s="1498"/>
      <c r="Y6" s="8" t="s">
        <v>97</v>
      </c>
      <c r="Z6" s="76" t="s">
        <v>106</v>
      </c>
      <c r="AA6" s="1497"/>
      <c r="AB6" s="1498"/>
      <c r="AC6" s="4" t="s">
        <v>97</v>
      </c>
      <c r="AD6" s="76" t="s">
        <v>107</v>
      </c>
      <c r="AE6" s="967" t="str">
        <f>IF(ISBLANK(W6), " ", (W6*AA6))</f>
        <v xml:space="preserve"> </v>
      </c>
      <c r="AF6" s="968"/>
      <c r="AG6" s="8" t="s">
        <v>31</v>
      </c>
      <c r="AL6" s="4"/>
      <c r="AM6" s="4"/>
      <c r="AN6" s="4"/>
      <c r="AO6" s="4"/>
      <c r="AT6" s="19"/>
      <c r="AU6" s="19"/>
    </row>
    <row r="7" spans="1:47" ht="6" customHeight="1">
      <c r="A7" s="199"/>
      <c r="B7" s="4"/>
      <c r="I7" s="935"/>
      <c r="J7" s="935"/>
      <c r="K7" s="936"/>
      <c r="L7" s="936"/>
      <c r="M7" s="936"/>
      <c r="N7" s="936"/>
      <c r="O7" s="936"/>
      <c r="P7" s="936"/>
      <c r="Q7" s="936"/>
      <c r="R7" s="935"/>
      <c r="S7" s="935"/>
      <c r="T7" s="55"/>
      <c r="AL7" s="4"/>
      <c r="AM7" s="4"/>
      <c r="AN7" s="4"/>
      <c r="AO7" s="4"/>
      <c r="AT7" s="19"/>
      <c r="AU7" s="19"/>
    </row>
    <row r="8" spans="1:47" ht="6" customHeight="1">
      <c r="A8" s="200"/>
      <c r="B8" s="135"/>
      <c r="C8" s="135"/>
      <c r="D8" s="135"/>
      <c r="E8" s="135"/>
      <c r="F8" s="135"/>
      <c r="G8" s="135"/>
      <c r="H8" s="135"/>
      <c r="I8" s="57"/>
      <c r="J8" s="57"/>
      <c r="K8" s="57"/>
      <c r="L8" s="135"/>
      <c r="M8" s="135"/>
      <c r="N8" s="135"/>
      <c r="O8" s="135"/>
      <c r="P8" s="135"/>
      <c r="Q8" s="135"/>
      <c r="R8" s="135"/>
      <c r="S8" s="135"/>
      <c r="T8" s="774"/>
      <c r="AL8" s="4"/>
      <c r="AM8" s="4"/>
      <c r="AN8" s="4"/>
      <c r="AO8" s="4"/>
      <c r="AT8" s="19"/>
      <c r="AU8" s="19"/>
    </row>
    <row r="9" spans="1:47" ht="24" customHeight="1">
      <c r="A9" s="124" t="s">
        <v>94</v>
      </c>
      <c r="B9" s="4" t="s">
        <v>154</v>
      </c>
      <c r="C9" s="8" t="s">
        <v>809</v>
      </c>
      <c r="D9" s="37"/>
      <c r="E9" s="4"/>
      <c r="F9" s="1148"/>
      <c r="G9" s="1505"/>
      <c r="H9" s="1505"/>
      <c r="I9" s="1505"/>
      <c r="J9" s="1149"/>
      <c r="K9" s="4" t="s">
        <v>527</v>
      </c>
      <c r="L9" s="8" t="s">
        <v>810</v>
      </c>
      <c r="M9" s="37"/>
      <c r="N9" s="1060"/>
      <c r="O9" s="1061"/>
      <c r="P9" s="1061"/>
      <c r="Q9" s="1061"/>
      <c r="R9" s="1062"/>
      <c r="T9" s="125"/>
      <c r="V9" s="4" t="s">
        <v>527</v>
      </c>
      <c r="W9" s="8" t="s">
        <v>560</v>
      </c>
      <c r="AK9" s="406"/>
      <c r="AL9" s="406"/>
      <c r="AM9" s="406"/>
      <c r="AN9" s="406"/>
      <c r="AO9" s="4"/>
      <c r="AT9" s="19"/>
      <c r="AU9" s="19"/>
    </row>
    <row r="10" spans="1:47" ht="6" customHeight="1">
      <c r="A10" s="52"/>
      <c r="B10" s="4"/>
      <c r="D10" s="37"/>
      <c r="E10" s="4"/>
      <c r="F10" s="43"/>
      <c r="G10" s="43"/>
      <c r="H10" s="70"/>
      <c r="J10" s="4"/>
      <c r="K10" s="43"/>
      <c r="L10" s="43"/>
      <c r="M10" s="4"/>
      <c r="N10" s="514"/>
      <c r="O10" s="514"/>
      <c r="P10" s="238"/>
      <c r="Q10" s="238"/>
      <c r="R10" s="238"/>
      <c r="S10" s="238"/>
      <c r="T10" s="840"/>
      <c r="AK10" s="406"/>
      <c r="AL10" s="406"/>
      <c r="AM10" s="406"/>
      <c r="AN10" s="406"/>
      <c r="AO10" s="4"/>
      <c r="AT10" s="19"/>
      <c r="AU10" s="19"/>
    </row>
    <row r="11" spans="1:47" ht="24" customHeight="1">
      <c r="A11" s="52"/>
      <c r="B11" s="4" t="s">
        <v>156</v>
      </c>
      <c r="C11" s="8" t="s">
        <v>877</v>
      </c>
      <c r="I11" s="1148"/>
      <c r="J11" s="1376"/>
      <c r="K11" s="8" t="s">
        <v>101</v>
      </c>
      <c r="N11" s="1506" t="s">
        <v>879</v>
      </c>
      <c r="O11" s="1506"/>
      <c r="P11" s="1506"/>
      <c r="Q11" s="1506"/>
      <c r="R11" s="1506"/>
      <c r="S11" s="1506"/>
      <c r="T11" s="1507"/>
      <c r="X11" s="76" t="s">
        <v>294</v>
      </c>
      <c r="Z11" s="1497"/>
      <c r="AA11" s="1498"/>
      <c r="AB11" s="219">
        <v>2</v>
      </c>
      <c r="AC11" s="8" t="s">
        <v>97</v>
      </c>
      <c r="AD11" s="76" t="s">
        <v>107</v>
      </c>
      <c r="AE11" s="967" t="str">
        <f>IF(ISBLANK(Z11)," ",PI()*Z11*Z11)</f>
        <v xml:space="preserve"> </v>
      </c>
      <c r="AF11" s="968"/>
      <c r="AG11" s="8" t="s">
        <v>31</v>
      </c>
      <c r="AT11" s="19"/>
      <c r="AU11" s="19"/>
    </row>
    <row r="12" spans="1:47" ht="6" customHeight="1">
      <c r="A12" s="52"/>
      <c r="B12" s="4"/>
      <c r="I12" s="142"/>
      <c r="J12" s="142"/>
      <c r="K12" s="142"/>
      <c r="N12" s="1506"/>
      <c r="O12" s="1506"/>
      <c r="P12" s="1506"/>
      <c r="Q12" s="1506"/>
      <c r="R12" s="1506"/>
      <c r="S12" s="1506"/>
      <c r="T12" s="1507"/>
      <c r="V12" s="841"/>
      <c r="AK12" s="4"/>
      <c r="AL12" s="4"/>
      <c r="AM12" s="4"/>
      <c r="AN12" s="4"/>
      <c r="AO12" s="4"/>
      <c r="AT12" s="19"/>
    </row>
    <row r="13" spans="1:47" ht="24" customHeight="1">
      <c r="A13" s="52"/>
      <c r="B13" s="4" t="s">
        <v>476</v>
      </c>
      <c r="C13" s="8" t="s">
        <v>853</v>
      </c>
      <c r="H13" s="142"/>
      <c r="I13" s="1393"/>
      <c r="J13" s="1472"/>
      <c r="K13" s="8" t="s">
        <v>591</v>
      </c>
      <c r="N13" s="1506"/>
      <c r="O13" s="1506"/>
      <c r="P13" s="1506"/>
      <c r="Q13" s="1506"/>
      <c r="R13" s="1506"/>
      <c r="S13" s="1506"/>
      <c r="T13" s="1507"/>
      <c r="V13" s="4" t="s">
        <v>156</v>
      </c>
      <c r="W13" s="1056" t="s">
        <v>1169</v>
      </c>
      <c r="X13" s="1056"/>
      <c r="Y13" s="1056"/>
      <c r="Z13" s="1056"/>
      <c r="AA13" s="1056"/>
      <c r="AB13" s="1056"/>
      <c r="AC13" s="1056"/>
      <c r="AD13" s="1056"/>
      <c r="AE13" s="1056"/>
      <c r="AF13" s="1056"/>
      <c r="AG13" s="1056"/>
      <c r="AH13" s="1056"/>
      <c r="AI13" s="1056"/>
      <c r="AJ13" s="1056"/>
      <c r="AK13" s="1056"/>
      <c r="AN13" s="22"/>
      <c r="AT13" s="19"/>
    </row>
    <row r="14" spans="1:47" ht="6" customHeight="1">
      <c r="A14" s="54"/>
      <c r="N14" s="1506"/>
      <c r="O14" s="1506"/>
      <c r="P14" s="1506"/>
      <c r="Q14" s="1506"/>
      <c r="R14" s="1506"/>
      <c r="S14" s="1506"/>
      <c r="T14" s="1507"/>
      <c r="V14" s="4"/>
      <c r="W14" s="1056"/>
      <c r="X14" s="1056"/>
      <c r="Y14" s="1056"/>
      <c r="Z14" s="1056"/>
      <c r="AA14" s="1056"/>
      <c r="AB14" s="1056"/>
      <c r="AC14" s="1056"/>
      <c r="AD14" s="1056"/>
      <c r="AE14" s="1056"/>
      <c r="AF14" s="1056"/>
      <c r="AG14" s="1056"/>
      <c r="AH14" s="1056"/>
      <c r="AI14" s="1056"/>
      <c r="AJ14" s="1056"/>
      <c r="AK14" s="1056"/>
      <c r="AL14" s="4"/>
      <c r="AM14" s="4"/>
      <c r="AN14" s="4"/>
      <c r="AO14" s="4"/>
      <c r="AT14" s="19"/>
    </row>
    <row r="15" spans="1:47" ht="24" customHeight="1">
      <c r="A15" s="52"/>
      <c r="B15" s="4" t="s">
        <v>477</v>
      </c>
      <c r="C15" s="8" t="s">
        <v>854</v>
      </c>
      <c r="H15" s="142"/>
      <c r="I15" s="1393"/>
      <c r="J15" s="1472"/>
      <c r="K15" s="8" t="s">
        <v>538</v>
      </c>
      <c r="N15" s="1506"/>
      <c r="O15" s="1506"/>
      <c r="P15" s="1506"/>
      <c r="Q15" s="1506"/>
      <c r="R15" s="1506"/>
      <c r="S15" s="1506"/>
      <c r="T15" s="1507"/>
      <c r="V15" s="4"/>
      <c r="W15" s="1497"/>
      <c r="X15" s="1498"/>
      <c r="Y15" s="4" t="s">
        <v>31</v>
      </c>
      <c r="Z15" s="76" t="s">
        <v>25</v>
      </c>
      <c r="AA15" s="3" t="s">
        <v>1168</v>
      </c>
      <c r="AB15" s="75"/>
      <c r="AC15" s="59"/>
      <c r="AD15" s="59"/>
      <c r="AE15" s="76" t="s">
        <v>107</v>
      </c>
      <c r="AF15" s="967" t="str">
        <f>IF(ISBLANK(W15)," ",W15*7.5/12)</f>
        <v xml:space="preserve"> </v>
      </c>
      <c r="AG15" s="968"/>
      <c r="AH15" s="8" t="s">
        <v>591</v>
      </c>
      <c r="AK15" s="4"/>
      <c r="AL15" s="4"/>
      <c r="AM15" s="4"/>
      <c r="AN15" s="4"/>
      <c r="AO15" s="4"/>
      <c r="AT15" s="19"/>
    </row>
    <row r="16" spans="1:47" ht="6" customHeight="1">
      <c r="A16" s="776"/>
      <c r="B16" s="79"/>
      <c r="C16" s="79"/>
      <c r="D16" s="79"/>
      <c r="E16" s="79"/>
      <c r="F16" s="79"/>
      <c r="G16" s="79"/>
      <c r="H16" s="79"/>
      <c r="I16" s="79"/>
      <c r="J16" s="79"/>
      <c r="K16" s="79"/>
      <c r="L16" s="79"/>
      <c r="M16" s="79"/>
      <c r="N16" s="79"/>
      <c r="O16" s="79"/>
      <c r="P16" s="79"/>
      <c r="Q16" s="51"/>
      <c r="R16" s="51"/>
      <c r="S16" s="51"/>
      <c r="T16" s="605"/>
      <c r="V16" s="4"/>
      <c r="W16" s="4"/>
      <c r="AT16" s="19"/>
    </row>
    <row r="17" spans="1:46" ht="24" customHeight="1">
      <c r="A17" s="1504" t="s">
        <v>848</v>
      </c>
      <c r="B17" s="1134"/>
      <c r="C17" s="1134"/>
      <c r="D17" s="1134"/>
      <c r="E17" s="1134"/>
      <c r="F17" s="1134"/>
      <c r="G17" s="1134"/>
      <c r="H17" s="1134"/>
      <c r="I17" s="1134"/>
      <c r="J17" s="1134"/>
      <c r="K17" s="1134"/>
      <c r="L17" s="1134"/>
      <c r="M17" s="1134"/>
      <c r="N17" s="1134"/>
      <c r="O17" s="1134"/>
      <c r="P17" s="1134"/>
      <c r="Q17" s="1134"/>
      <c r="R17" s="1134"/>
      <c r="S17" s="1134"/>
      <c r="T17" s="1135"/>
      <c r="V17" s="4" t="s">
        <v>476</v>
      </c>
      <c r="W17" s="8" t="s">
        <v>507</v>
      </c>
      <c r="AA17" s="43"/>
      <c r="AB17" s="43"/>
      <c r="AC17" s="70"/>
      <c r="AE17" s="4"/>
      <c r="AF17" s="43"/>
      <c r="AG17" s="43"/>
      <c r="AH17" s="4"/>
      <c r="AL17" s="4"/>
      <c r="AM17" s="4"/>
      <c r="AN17" s="4"/>
      <c r="AO17" s="4"/>
      <c r="AT17" s="19"/>
    </row>
    <row r="18" spans="1:46" ht="18" customHeight="1">
      <c r="A18" s="71">
        <v>3</v>
      </c>
      <c r="B18" s="1056" t="s">
        <v>278</v>
      </c>
      <c r="C18" s="1056"/>
      <c r="D18" s="1056"/>
      <c r="E18" s="1056"/>
      <c r="F18" s="1056"/>
      <c r="G18" s="1056"/>
      <c r="H18" s="1056"/>
      <c r="I18" s="1056"/>
      <c r="J18" s="1056"/>
      <c r="K18" s="1056"/>
      <c r="L18" s="1056"/>
      <c r="M18" s="1056"/>
      <c r="N18" s="1056"/>
      <c r="O18" s="1056"/>
      <c r="P18" s="1056"/>
      <c r="Q18" s="1056"/>
      <c r="R18" s="1056"/>
      <c r="S18" s="1056"/>
      <c r="T18" s="55"/>
      <c r="V18" s="9"/>
      <c r="W18" s="7" t="s">
        <v>508</v>
      </c>
      <c r="AF18" s="1512"/>
      <c r="AG18" s="1513"/>
      <c r="AH18" s="8" t="s">
        <v>99</v>
      </c>
      <c r="AT18" s="19"/>
    </row>
    <row r="19" spans="1:46" ht="18" customHeight="1">
      <c r="A19" s="52"/>
      <c r="B19" s="1056"/>
      <c r="C19" s="1056"/>
      <c r="D19" s="1056"/>
      <c r="E19" s="1056"/>
      <c r="F19" s="1056"/>
      <c r="G19" s="1056"/>
      <c r="H19" s="1056"/>
      <c r="I19" s="1056"/>
      <c r="J19" s="1056"/>
      <c r="K19" s="1056"/>
      <c r="L19" s="1056"/>
      <c r="M19" s="1056"/>
      <c r="N19" s="1056"/>
      <c r="O19" s="1056"/>
      <c r="P19" s="1056"/>
      <c r="Q19" s="1056"/>
      <c r="R19" s="1056"/>
      <c r="S19" s="1056"/>
      <c r="T19" s="55"/>
      <c r="W19" s="7" t="s">
        <v>509</v>
      </c>
      <c r="AD19" s="4"/>
      <c r="AE19" s="4"/>
      <c r="AH19" s="3"/>
      <c r="AI19" s="3"/>
      <c r="AJ19" s="3"/>
      <c r="AT19" s="19"/>
    </row>
    <row r="20" spans="1:46" ht="18" customHeight="1">
      <c r="A20" s="52"/>
      <c r="B20" s="8" t="s">
        <v>878</v>
      </c>
      <c r="Q20" s="8"/>
      <c r="R20" s="8"/>
      <c r="S20" s="8"/>
      <c r="T20" s="55"/>
      <c r="W20" s="998" t="str">
        <f>IF(ISBLANK(AF18)," ",(AF18))</f>
        <v xml:space="preserve"> </v>
      </c>
      <c r="X20" s="999"/>
      <c r="Y20" s="4" t="s">
        <v>99</v>
      </c>
      <c r="Z20" s="76" t="s">
        <v>106</v>
      </c>
      <c r="AA20" s="967" t="str">
        <f>IF(ISBLANK(W15),"",MAX(I13,AF15))</f>
        <v/>
      </c>
      <c r="AB20" s="968"/>
      <c r="AC20" s="8" t="s">
        <v>1170</v>
      </c>
      <c r="AF20" s="967" t="str">
        <f>IF(ISBLANK(AF18)," ",(W20*AA20))</f>
        <v xml:space="preserve"> </v>
      </c>
      <c r="AG20" s="968"/>
      <c r="AH20" s="8" t="s">
        <v>101</v>
      </c>
      <c r="AT20" s="19"/>
    </row>
    <row r="21" spans="1:46" ht="24" customHeight="1">
      <c r="A21" s="54"/>
      <c r="B21" s="22" t="s">
        <v>314</v>
      </c>
      <c r="C21" s="1060"/>
      <c r="D21" s="1062"/>
      <c r="E21" s="76" t="s">
        <v>561</v>
      </c>
      <c r="F21" s="8" t="s">
        <v>592</v>
      </c>
      <c r="H21" s="967" t="str">
        <f>IF(ISBLANK(C21), " ", MAX(I13,AF15))</f>
        <v xml:space="preserve"> </v>
      </c>
      <c r="I21" s="968"/>
      <c r="J21" s="8" t="s">
        <v>157</v>
      </c>
      <c r="M21" s="76" t="s">
        <v>107</v>
      </c>
      <c r="N21" s="961" t="str">
        <f>IF(ISBLANK(C21)," ",((C21+2)*H21))</f>
        <v xml:space="preserve"> </v>
      </c>
      <c r="O21" s="962"/>
      <c r="P21" s="8" t="s">
        <v>101</v>
      </c>
      <c r="Q21" s="8"/>
      <c r="R21" s="8"/>
      <c r="S21" s="8"/>
      <c r="T21" s="55"/>
      <c r="V21" s="9"/>
      <c r="AT21" s="19"/>
    </row>
    <row r="22" spans="1:46" ht="18" customHeight="1">
      <c r="A22" s="71">
        <v>4</v>
      </c>
      <c r="B22" s="1056" t="s">
        <v>1153</v>
      </c>
      <c r="C22" s="1056"/>
      <c r="D22" s="1056"/>
      <c r="E22" s="1056"/>
      <c r="F22" s="1056"/>
      <c r="G22" s="1056"/>
      <c r="H22" s="1056"/>
      <c r="I22" s="1056"/>
      <c r="J22" s="1056"/>
      <c r="K22" s="1056"/>
      <c r="L22" s="1056"/>
      <c r="M22" s="1056"/>
      <c r="T22" s="125"/>
      <c r="V22" s="9"/>
      <c r="AT22" s="19"/>
    </row>
    <row r="23" spans="1:46" ht="24" customHeight="1">
      <c r="A23" s="52"/>
      <c r="B23" s="7" t="s">
        <v>298</v>
      </c>
      <c r="C23" s="246"/>
      <c r="D23" s="246"/>
      <c r="E23" s="246"/>
      <c r="F23" s="246"/>
      <c r="G23" s="246"/>
      <c r="H23" s="246"/>
      <c r="I23" s="246"/>
      <c r="J23" s="246"/>
      <c r="K23" s="246"/>
      <c r="L23" s="246"/>
      <c r="M23" s="246"/>
      <c r="N23" s="961" t="str">
        <f>IF(ISBLANK(C21)," ",MAX('Pres. Dist.'!G70,'Non-Level Pres. Dist.'!K189))</f>
        <v xml:space="preserve"> </v>
      </c>
      <c r="O23" s="962"/>
      <c r="P23" s="8" t="s">
        <v>1184</v>
      </c>
      <c r="Q23" s="8"/>
      <c r="S23" s="8"/>
      <c r="T23" s="55"/>
      <c r="V23" s="9"/>
      <c r="W23" s="4"/>
      <c r="AT23" s="19"/>
    </row>
    <row r="24" spans="1:46" ht="18" customHeight="1">
      <c r="A24" s="71">
        <v>5</v>
      </c>
      <c r="B24" s="8" t="s">
        <v>510</v>
      </c>
      <c r="Q24" s="8"/>
      <c r="R24" s="8"/>
      <c r="S24" s="8"/>
      <c r="T24" s="55"/>
      <c r="V24" s="9"/>
      <c r="W24" s="4"/>
      <c r="AT24" s="19"/>
    </row>
    <row r="25" spans="1:46" ht="24" customHeight="1">
      <c r="A25" s="71"/>
      <c r="B25" s="8" t="s">
        <v>316</v>
      </c>
      <c r="E25" s="998" t="str">
        <f>IF(ISBLANK('Design Summary'!D9)," ",'Design Summary'!D9)</f>
        <v xml:space="preserve"> </v>
      </c>
      <c r="F25" s="999"/>
      <c r="G25" s="4" t="s">
        <v>317</v>
      </c>
      <c r="H25" s="76" t="s">
        <v>106</v>
      </c>
      <c r="I25" s="1141">
        <v>0.25</v>
      </c>
      <c r="J25" s="1141"/>
      <c r="K25" s="76" t="s">
        <v>107</v>
      </c>
      <c r="N25" s="961" t="str">
        <f>IF(ISBLANK(C21)," ",(E25*0.25))</f>
        <v xml:space="preserve"> </v>
      </c>
      <c r="O25" s="962"/>
      <c r="P25" s="8" t="s">
        <v>1183</v>
      </c>
      <c r="Q25" s="35"/>
      <c r="R25" s="35"/>
      <c r="T25" s="125"/>
      <c r="V25" s="4"/>
      <c r="W25" s="4"/>
      <c r="AT25" s="19"/>
    </row>
    <row r="26" spans="1:46" ht="6" customHeight="1">
      <c r="A26" s="71"/>
      <c r="B26" s="36"/>
      <c r="C26" s="36"/>
      <c r="D26" s="36"/>
      <c r="E26" s="36"/>
      <c r="F26" s="36"/>
      <c r="G26" s="36"/>
      <c r="H26" s="36"/>
      <c r="I26" s="36"/>
      <c r="J26" s="36"/>
      <c r="K26" s="36"/>
      <c r="L26" s="36"/>
      <c r="M26" s="36"/>
      <c r="N26" s="36"/>
      <c r="O26" s="36"/>
      <c r="P26" s="36"/>
      <c r="Q26" s="8"/>
      <c r="R26" s="8"/>
      <c r="S26" s="8"/>
      <c r="T26" s="55"/>
      <c r="V26" s="4"/>
      <c r="W26" s="4"/>
      <c r="X26" s="10"/>
      <c r="Y26" s="10"/>
      <c r="Z26" s="10"/>
      <c r="AA26" s="10"/>
      <c r="AB26" s="10"/>
      <c r="AC26" s="10"/>
      <c r="AD26" s="10"/>
      <c r="AE26" s="10"/>
      <c r="AF26" s="10"/>
      <c r="AT26" s="19"/>
    </row>
    <row r="27" spans="1:46" ht="6" customHeight="1">
      <c r="A27" s="824"/>
      <c r="B27" s="57"/>
      <c r="C27" s="57"/>
      <c r="D27" s="57"/>
      <c r="E27" s="146"/>
      <c r="F27" s="57"/>
      <c r="G27" s="57"/>
      <c r="H27" s="57"/>
      <c r="I27" s="57"/>
      <c r="J27" s="57"/>
      <c r="K27" s="57"/>
      <c r="L27" s="57"/>
      <c r="M27" s="57"/>
      <c r="N27" s="57"/>
      <c r="O27" s="825"/>
      <c r="P27" s="57"/>
      <c r="Q27" s="57"/>
      <c r="R27" s="57"/>
      <c r="S27" s="57"/>
      <c r="T27" s="826"/>
      <c r="AT27" s="19"/>
    </row>
    <row r="28" spans="1:46" ht="24" customHeight="1">
      <c r="A28" s="71">
        <v>6</v>
      </c>
      <c r="B28" s="1397" t="s">
        <v>1174</v>
      </c>
      <c r="C28" s="1397"/>
      <c r="D28" s="1397"/>
      <c r="E28" s="1397"/>
      <c r="F28" s="1397"/>
      <c r="G28" s="1397"/>
      <c r="H28" s="1397"/>
      <c r="I28" s="1397"/>
      <c r="J28" s="1397"/>
      <c r="K28" s="1060"/>
      <c r="L28" s="1062"/>
      <c r="M28" s="8" t="s">
        <v>101</v>
      </c>
      <c r="Q28" s="8"/>
      <c r="R28" s="8"/>
      <c r="S28" s="8"/>
      <c r="T28" s="55"/>
      <c r="AT28" s="19"/>
    </row>
    <row r="29" spans="1:46" ht="18" customHeight="1">
      <c r="A29" s="71">
        <v>7</v>
      </c>
      <c r="B29" s="8" t="s">
        <v>1150</v>
      </c>
      <c r="Q29" s="8"/>
      <c r="R29" s="8"/>
      <c r="S29" s="8"/>
      <c r="T29" s="125"/>
      <c r="AT29" s="19"/>
    </row>
    <row r="30" spans="1:46" ht="24" customHeight="1">
      <c r="A30" s="71"/>
      <c r="C30" s="998" t="str">
        <f>IF(ISBLANK(E25)," ",E25)</f>
        <v xml:space="preserve"> </v>
      </c>
      <c r="D30" s="999"/>
      <c r="E30" s="1508" t="s">
        <v>551</v>
      </c>
      <c r="F30" s="1509"/>
      <c r="G30" s="998" t="str">
        <f>IF(ISBLANK(K28)," ",K28)</f>
        <v xml:space="preserve"> </v>
      </c>
      <c r="H30" s="999"/>
      <c r="I30" s="1508" t="s">
        <v>1171</v>
      </c>
      <c r="J30" s="1510"/>
      <c r="K30" s="1197" t="str">
        <f>IF(ISBLANK(C21)," ",ROUNDDOWN((C30/G30),0))</f>
        <v xml:space="preserve"> </v>
      </c>
      <c r="L30" s="1501"/>
      <c r="M30" s="7" t="s">
        <v>562</v>
      </c>
      <c r="O30" s="35"/>
      <c r="P30" s="35"/>
      <c r="Q30" s="44"/>
      <c r="R30" s="44"/>
      <c r="S30" s="137"/>
      <c r="T30" s="125"/>
      <c r="AT30" s="19"/>
    </row>
    <row r="31" spans="1:46" ht="19.899999999999999" customHeight="1">
      <c r="A31" s="71">
        <v>8</v>
      </c>
      <c r="B31" s="8" t="s">
        <v>26</v>
      </c>
      <c r="I31" s="35"/>
      <c r="J31" s="9"/>
      <c r="K31" s="35"/>
      <c r="L31" s="4"/>
      <c r="M31" s="44"/>
      <c r="N31" s="7"/>
      <c r="Q31" s="8"/>
      <c r="R31" s="8"/>
      <c r="S31" s="8"/>
      <c r="T31" s="55"/>
      <c r="AT31" s="19"/>
    </row>
    <row r="32" spans="1:46" ht="24" customHeight="1">
      <c r="A32" s="71"/>
      <c r="B32" s="8" t="s">
        <v>154</v>
      </c>
      <c r="C32" s="7" t="s">
        <v>511</v>
      </c>
      <c r="J32" s="998" t="str">
        <f>IF(ISBLANK(K28),"",('Pump-Basic (1) '!F28))</f>
        <v/>
      </c>
      <c r="K32" s="999"/>
      <c r="L32" s="8" t="s">
        <v>538</v>
      </c>
      <c r="Q32" s="8"/>
      <c r="R32" s="8"/>
      <c r="S32" s="8"/>
      <c r="T32" s="55"/>
      <c r="AT32" s="19"/>
    </row>
    <row r="33" spans="1:46" ht="6" customHeight="1">
      <c r="A33" s="71"/>
      <c r="C33" s="7"/>
      <c r="H33" s="35"/>
      <c r="I33" s="35"/>
      <c r="J33" s="18"/>
      <c r="Q33" s="35"/>
      <c r="R33" s="35"/>
      <c r="S33" s="18"/>
      <c r="T33" s="55"/>
      <c r="AT33" s="19"/>
    </row>
    <row r="34" spans="1:46" ht="24" customHeight="1">
      <c r="A34" s="71"/>
      <c r="B34" s="8" t="s">
        <v>527</v>
      </c>
      <c r="C34" s="8" t="s">
        <v>27</v>
      </c>
      <c r="J34" s="961" t="str">
        <f>IF(ISBLANK(K28),"",'Pump-Basic (1) '!F30)</f>
        <v/>
      </c>
      <c r="K34" s="999"/>
      <c r="L34" s="8" t="s">
        <v>525</v>
      </c>
      <c r="Q34" s="35"/>
      <c r="R34" s="35"/>
      <c r="S34" s="18"/>
      <c r="T34" s="55"/>
      <c r="AT34" s="19"/>
    </row>
    <row r="35" spans="1:46" ht="6" customHeight="1">
      <c r="A35" s="71"/>
      <c r="C35" s="224"/>
      <c r="D35" s="224"/>
      <c r="E35" s="76"/>
      <c r="F35" s="224"/>
      <c r="G35" s="224"/>
      <c r="H35" s="227"/>
      <c r="J35" s="266"/>
      <c r="K35" s="267"/>
      <c r="N35" s="7"/>
      <c r="Q35" s="8"/>
      <c r="R35" s="8"/>
      <c r="S35" s="8"/>
      <c r="T35" s="55"/>
      <c r="AT35" s="19"/>
    </row>
    <row r="36" spans="1:46" ht="24" customHeight="1">
      <c r="A36" s="71"/>
      <c r="B36" s="8" t="s">
        <v>156</v>
      </c>
      <c r="C36" s="7" t="s">
        <v>512</v>
      </c>
      <c r="H36" s="227"/>
      <c r="I36" s="224"/>
      <c r="J36" s="1502" t="str">
        <f>IF(ISBLANK(C21)," ",IF(J32=1,"0.045",IF(J32=1.25,"0.078",IF(J32=1.5,"0.110",IF(J32=2,"0.170",IF(J32=3,"0.380"))))))</f>
        <v xml:space="preserve"> </v>
      </c>
      <c r="K36" s="1503"/>
      <c r="L36" s="8" t="s">
        <v>559</v>
      </c>
      <c r="M36" s="44"/>
      <c r="N36" s="7"/>
      <c r="Q36" s="8"/>
      <c r="R36" s="8"/>
      <c r="S36" s="8"/>
      <c r="T36" s="55"/>
      <c r="AT36" s="19"/>
    </row>
    <row r="37" spans="1:46" ht="18" customHeight="1">
      <c r="A37" s="71"/>
      <c r="B37" s="8" t="s">
        <v>476</v>
      </c>
      <c r="C37" s="7" t="s">
        <v>513</v>
      </c>
      <c r="I37" s="35"/>
      <c r="J37" s="9"/>
      <c r="K37" s="9"/>
      <c r="L37" s="4"/>
      <c r="M37" s="44"/>
      <c r="N37" s="7"/>
      <c r="Q37" s="8"/>
      <c r="R37" s="8"/>
      <c r="S37" s="8"/>
      <c r="T37" s="55"/>
      <c r="AH37" s="13"/>
      <c r="AI37" s="13"/>
      <c r="AK37" s="6"/>
      <c r="AL37" s="6"/>
      <c r="AT37" s="19"/>
    </row>
    <row r="38" spans="1:46" ht="24" customHeight="1">
      <c r="A38" s="71"/>
      <c r="C38" s="998" t="str">
        <f>IF(ISBLANK(J32),"",J34)</f>
        <v/>
      </c>
      <c r="D38" s="999"/>
      <c r="E38" s="76" t="s">
        <v>127</v>
      </c>
      <c r="F38" s="998" t="str">
        <f>J36</f>
        <v xml:space="preserve"> </v>
      </c>
      <c r="G38" s="999"/>
      <c r="H38" s="227" t="s">
        <v>1172</v>
      </c>
      <c r="J38" s="967" t="str">
        <f>IF(ISBLANK(C21),"",C38*F38)</f>
        <v/>
      </c>
      <c r="K38" s="1500"/>
      <c r="L38" s="8" t="s">
        <v>101</v>
      </c>
      <c r="N38" s="7"/>
      <c r="Q38" s="8"/>
      <c r="R38" s="8"/>
      <c r="S38" s="8"/>
      <c r="T38" s="55"/>
      <c r="AT38" s="19"/>
    </row>
    <row r="39" spans="1:46" ht="18" customHeight="1">
      <c r="A39" s="71" t="s">
        <v>104</v>
      </c>
      <c r="B39" s="7" t="s">
        <v>1151</v>
      </c>
      <c r="I39" s="35"/>
      <c r="J39" s="9"/>
      <c r="K39" s="35"/>
      <c r="L39" s="4"/>
      <c r="M39" s="44"/>
      <c r="N39" s="7"/>
      <c r="Q39" s="8"/>
      <c r="R39" s="8"/>
      <c r="S39" s="8"/>
      <c r="T39" s="55"/>
      <c r="AT39" s="19"/>
    </row>
    <row r="40" spans="1:46" ht="24" customHeight="1">
      <c r="A40" s="71"/>
      <c r="C40" s="998" t="str">
        <f>IF(ISBLANK(K28), " ", K28)</f>
        <v xml:space="preserve"> </v>
      </c>
      <c r="D40" s="999"/>
      <c r="E40" s="76" t="s">
        <v>564</v>
      </c>
      <c r="F40" s="967" t="str">
        <f>J38</f>
        <v/>
      </c>
      <c r="G40" s="999"/>
      <c r="H40" s="76" t="s">
        <v>565</v>
      </c>
      <c r="I40" s="961" t="str">
        <f>IF(ISBLANK(C21),"",C40+F40)</f>
        <v/>
      </c>
      <c r="J40" s="962"/>
      <c r="K40" s="8" t="s">
        <v>101</v>
      </c>
      <c r="L40" s="4"/>
      <c r="M40" s="44"/>
      <c r="N40" s="7"/>
      <c r="Q40" s="8"/>
      <c r="R40" s="8"/>
      <c r="S40" s="8"/>
      <c r="T40" s="55"/>
      <c r="AT40" s="19"/>
    </row>
    <row r="41" spans="1:46" ht="18" customHeight="1">
      <c r="A41" s="71" t="s">
        <v>108</v>
      </c>
      <c r="B41" s="8" t="s">
        <v>849</v>
      </c>
      <c r="C41" s="188"/>
      <c r="D41" s="188"/>
      <c r="E41" s="76"/>
      <c r="F41" s="142"/>
      <c r="G41" s="188"/>
      <c r="H41" s="76"/>
      <c r="I41" s="142"/>
      <c r="J41" s="142"/>
      <c r="L41" s="4"/>
      <c r="M41" s="44"/>
      <c r="N41" s="7"/>
      <c r="Q41" s="8"/>
      <c r="R41" s="8"/>
      <c r="S41" s="8"/>
      <c r="T41" s="55"/>
      <c r="AH41" s="13"/>
      <c r="AI41" s="13"/>
      <c r="AK41" s="6"/>
      <c r="AL41" s="6"/>
      <c r="AT41" s="19"/>
    </row>
    <row r="42" spans="1:46" ht="24" customHeight="1">
      <c r="A42" s="71"/>
      <c r="C42" s="1060"/>
      <c r="D42" s="1062"/>
      <c r="E42" s="227" t="s">
        <v>296</v>
      </c>
      <c r="F42" s="967" t="str">
        <f>IF(ISBLANK(C21), " ", MAX(I13,AF15))</f>
        <v xml:space="preserve"> </v>
      </c>
      <c r="G42" s="1414"/>
      <c r="H42" s="227" t="s">
        <v>1173</v>
      </c>
      <c r="J42" s="967" t="str">
        <f>IF(ISBLANK(C42), "",C42*F42)</f>
        <v/>
      </c>
      <c r="K42" s="1414"/>
      <c r="L42" s="8" t="s">
        <v>101</v>
      </c>
      <c r="Q42" s="8"/>
      <c r="R42" s="8"/>
      <c r="S42" s="8"/>
      <c r="T42" s="55"/>
      <c r="AH42" s="13"/>
      <c r="AI42" s="13"/>
      <c r="AK42" s="6"/>
      <c r="AL42" s="6"/>
      <c r="AT42" s="19"/>
    </row>
    <row r="43" spans="1:46" ht="6" customHeight="1">
      <c r="A43" s="471"/>
      <c r="B43" s="79"/>
      <c r="C43" s="203"/>
      <c r="D43" s="203"/>
      <c r="E43" s="827"/>
      <c r="F43" s="828"/>
      <c r="G43" s="203"/>
      <c r="H43" s="827"/>
      <c r="I43" s="828"/>
      <c r="J43" s="828"/>
      <c r="K43" s="79"/>
      <c r="L43" s="51"/>
      <c r="M43" s="829"/>
      <c r="N43" s="830"/>
      <c r="O43" s="79"/>
      <c r="P43" s="79"/>
      <c r="Q43" s="79"/>
      <c r="R43" s="79"/>
      <c r="S43" s="79"/>
      <c r="T43" s="132"/>
      <c r="AH43" s="13"/>
      <c r="AI43" s="13"/>
      <c r="AK43" s="6"/>
      <c r="AL43" s="6"/>
      <c r="AT43" s="19"/>
    </row>
    <row r="44" spans="1:46" ht="18" customHeight="1">
      <c r="A44" s="773" t="s">
        <v>1253</v>
      </c>
      <c r="B44" s="387"/>
      <c r="C44" s="387"/>
      <c r="D44" s="387"/>
      <c r="E44" s="387"/>
      <c r="F44" s="387"/>
      <c r="G44" s="387"/>
      <c r="H44" s="387"/>
      <c r="I44" s="387"/>
      <c r="J44" s="387"/>
      <c r="K44" s="387"/>
      <c r="L44" s="387"/>
      <c r="M44" s="387"/>
      <c r="N44" s="387"/>
      <c r="O44" s="387"/>
      <c r="P44" s="387"/>
      <c r="Q44" s="387"/>
      <c r="R44" s="387"/>
      <c r="S44" s="387"/>
      <c r="T44" s="772"/>
    </row>
    <row r="45" spans="1:46" ht="18" customHeight="1">
      <c r="A45" s="850" t="s">
        <v>110</v>
      </c>
      <c r="B45" s="57" t="s">
        <v>520</v>
      </c>
      <c r="C45" s="57"/>
      <c r="D45" s="57"/>
      <c r="E45" s="146"/>
      <c r="F45" s="57"/>
      <c r="G45" s="57"/>
      <c r="H45" s="57"/>
      <c r="I45" s="57"/>
      <c r="J45" s="57"/>
      <c r="K45" s="57"/>
      <c r="L45" s="57"/>
      <c r="M45" s="57"/>
      <c r="N45" s="57"/>
      <c r="O45" s="57"/>
      <c r="P45" s="57"/>
      <c r="Q45" s="57"/>
      <c r="R45" s="57"/>
      <c r="S45" s="57"/>
      <c r="T45" s="826"/>
    </row>
    <row r="46" spans="1:46" ht="19.899999999999999" customHeight="1">
      <c r="A46" s="127" t="s">
        <v>154</v>
      </c>
      <c r="B46" s="8" t="s">
        <v>1219</v>
      </c>
      <c r="C46" s="10"/>
      <c r="D46" s="10"/>
      <c r="E46" s="10"/>
      <c r="F46" s="10"/>
      <c r="G46" s="134"/>
      <c r="K46" s="961" t="str">
        <f>'Pres. Dist.'!L58</f>
        <v xml:space="preserve"> </v>
      </c>
      <c r="L46" s="1396"/>
      <c r="M46" s="4" t="s">
        <v>141</v>
      </c>
      <c r="Q46" s="1514" t="s">
        <v>1176</v>
      </c>
      <c r="R46" s="1514"/>
      <c r="S46" s="1514"/>
      <c r="T46" s="777"/>
    </row>
    <row r="47" spans="1:46" ht="18" customHeight="1">
      <c r="A47" s="127" t="s">
        <v>527</v>
      </c>
      <c r="B47" s="8" t="s">
        <v>850</v>
      </c>
      <c r="C47" s="10"/>
      <c r="D47" s="10"/>
      <c r="E47" s="10"/>
      <c r="F47" s="10"/>
      <c r="G47" s="10"/>
      <c r="H47" s="10"/>
      <c r="I47" s="10"/>
      <c r="J47" s="10"/>
      <c r="K47" s="10"/>
      <c r="O47" s="769"/>
      <c r="Q47" s="1514"/>
      <c r="R47" s="1514"/>
      <c r="S47" s="1514"/>
      <c r="T47" s="777"/>
    </row>
    <row r="48" spans="1:46" ht="24" customHeight="1">
      <c r="A48" s="140"/>
      <c r="C48" s="1060"/>
      <c r="D48" s="1062"/>
      <c r="E48" s="1182" t="s">
        <v>251</v>
      </c>
      <c r="F48" s="1142"/>
      <c r="G48" s="967" t="str">
        <f>IF(ISBLANK(C21),"",I13)</f>
        <v/>
      </c>
      <c r="H48" s="968"/>
      <c r="I48" s="1141" t="s">
        <v>252</v>
      </c>
      <c r="J48" s="1142"/>
      <c r="K48" s="1060"/>
      <c r="L48" s="1062"/>
      <c r="M48" s="4" t="s">
        <v>253</v>
      </c>
      <c r="N48" s="967" t="str">
        <f>IF(ISBLANK(C48),"",(C48*(G48/K48)))</f>
        <v/>
      </c>
      <c r="O48" s="968"/>
      <c r="P48" s="4" t="s">
        <v>141</v>
      </c>
      <c r="Q48" s="1514"/>
      <c r="R48" s="1514"/>
      <c r="S48" s="1514"/>
      <c r="T48" s="55"/>
    </row>
    <row r="49" spans="1:20" ht="6" customHeight="1">
      <c r="A49" s="140"/>
      <c r="E49" s="4"/>
      <c r="O49" s="769"/>
      <c r="Q49" s="1514"/>
      <c r="R49" s="1514"/>
      <c r="S49" s="1514"/>
      <c r="T49" s="55"/>
    </row>
    <row r="50" spans="1:20" ht="24" customHeight="1">
      <c r="A50" s="139" t="s">
        <v>115</v>
      </c>
      <c r="B50" s="8" t="s">
        <v>1202</v>
      </c>
      <c r="D50" s="4"/>
      <c r="E50" s="4"/>
      <c r="G50" s="961" t="str">
        <f>K46</f>
        <v xml:space="preserve"> </v>
      </c>
      <c r="H50" s="962"/>
      <c r="I50" s="4" t="s">
        <v>141</v>
      </c>
      <c r="Q50" s="1514"/>
      <c r="R50" s="1514"/>
      <c r="S50" s="1514"/>
      <c r="T50" s="55"/>
    </row>
    <row r="51" spans="1:20" ht="19.899999999999999" customHeight="1">
      <c r="A51" s="139" t="s">
        <v>116</v>
      </c>
      <c r="B51" s="8" t="s">
        <v>521</v>
      </c>
      <c r="E51" s="4"/>
      <c r="Q51" s="8"/>
      <c r="R51" s="8"/>
      <c r="S51" s="8"/>
      <c r="T51" s="55"/>
    </row>
    <row r="52" spans="1:20" ht="18" customHeight="1">
      <c r="A52" s="140"/>
      <c r="B52" s="7" t="s">
        <v>851</v>
      </c>
      <c r="E52" s="4"/>
      <c r="O52" s="48"/>
      <c r="Q52" s="8"/>
      <c r="R52" s="8"/>
      <c r="S52" s="8"/>
      <c r="T52" s="55"/>
    </row>
    <row r="53" spans="1:20" ht="24" customHeight="1">
      <c r="A53" s="140"/>
      <c r="B53" s="961" t="str">
        <f>I40</f>
        <v/>
      </c>
      <c r="C53" s="962"/>
      <c r="D53" s="1516" t="s">
        <v>254</v>
      </c>
      <c r="E53" s="1517"/>
      <c r="F53" s="967" t="str">
        <f>IF(ISBLANK(G50)," ",G50)</f>
        <v xml:space="preserve"> </v>
      </c>
      <c r="G53" s="968"/>
      <c r="H53" s="1515" t="s">
        <v>255</v>
      </c>
      <c r="I53" s="1516"/>
      <c r="J53" s="967" t="str">
        <f>IF(ISBLANK(C21),"",B53/F53)</f>
        <v/>
      </c>
      <c r="K53" s="968"/>
      <c r="L53" s="8" t="s">
        <v>318</v>
      </c>
      <c r="Q53" s="8"/>
      <c r="R53" s="8"/>
      <c r="S53" s="8"/>
      <c r="T53" s="55"/>
    </row>
    <row r="54" spans="1:20" ht="18" customHeight="1">
      <c r="A54" s="139" t="s">
        <v>122</v>
      </c>
      <c r="B54" s="8" t="s">
        <v>522</v>
      </c>
      <c r="E54" s="4"/>
      <c r="Q54" s="8"/>
      <c r="R54" s="8"/>
      <c r="S54" s="8"/>
      <c r="T54" s="55"/>
    </row>
    <row r="55" spans="1:20" ht="18" customHeight="1">
      <c r="A55" s="140"/>
      <c r="B55" s="8" t="s">
        <v>852</v>
      </c>
      <c r="E55" s="4"/>
      <c r="Q55" s="8"/>
      <c r="R55" s="8"/>
      <c r="S55" s="8"/>
      <c r="T55" s="55"/>
    </row>
    <row r="56" spans="1:20" ht="24" customHeight="1">
      <c r="A56" s="140"/>
      <c r="B56" s="1141" t="s">
        <v>256</v>
      </c>
      <c r="C56" s="1141"/>
      <c r="D56" s="226" t="s">
        <v>613</v>
      </c>
      <c r="E56" s="961" t="str">
        <f>K30</f>
        <v xml:space="preserve"> </v>
      </c>
      <c r="F56" s="962"/>
      <c r="G56" s="237" t="s">
        <v>257</v>
      </c>
      <c r="I56" s="967" t="str">
        <f>IF(ISBLANK(G50)," ",J53)</f>
        <v/>
      </c>
      <c r="J56" s="1500"/>
      <c r="K56" s="8" t="s">
        <v>258</v>
      </c>
      <c r="L56" s="76" t="s">
        <v>107</v>
      </c>
      <c r="M56" s="967" t="str">
        <f>IF(ISBLANK(C21),"",(1440/E56-J53))</f>
        <v/>
      </c>
      <c r="N56" s="1414"/>
      <c r="O56" s="8" t="s">
        <v>320</v>
      </c>
      <c r="Q56" s="8"/>
      <c r="R56" s="8"/>
      <c r="S56" s="8"/>
      <c r="T56" s="55"/>
    </row>
    <row r="57" spans="1:20" ht="19.5" customHeight="1" thickBot="1">
      <c r="A57" s="139" t="s">
        <v>130</v>
      </c>
      <c r="B57" s="8" t="s">
        <v>292</v>
      </c>
      <c r="E57" s="4"/>
      <c r="N57" s="36"/>
      <c r="O57" s="48" t="s">
        <v>30</v>
      </c>
      <c r="P57" s="612" t="str">
        <f>IF(ISBLANK(F62), "",J62)</f>
        <v/>
      </c>
      <c r="Q57" s="8" t="s">
        <v>99</v>
      </c>
      <c r="R57" s="8"/>
      <c r="S57" s="8"/>
      <c r="T57" s="55"/>
    </row>
    <row r="58" spans="1:20" ht="19.5" customHeight="1">
      <c r="A58" s="54"/>
      <c r="B58" s="7" t="s">
        <v>856</v>
      </c>
      <c r="C58" s="36"/>
      <c r="D58" s="36"/>
      <c r="E58" s="36"/>
      <c r="F58" s="36"/>
      <c r="G58" s="36"/>
      <c r="H58" s="36"/>
      <c r="I58" s="36"/>
      <c r="J58" s="36"/>
      <c r="K58" s="36"/>
      <c r="L58" s="36"/>
      <c r="M58" s="36"/>
      <c r="Q58" s="8"/>
      <c r="R58" s="8"/>
      <c r="S58" s="8"/>
      <c r="T58" s="55"/>
    </row>
    <row r="59" spans="1:20" ht="24" customHeight="1">
      <c r="A59" s="54"/>
      <c r="B59" s="961" t="str">
        <f>N21</f>
        <v xml:space="preserve"> </v>
      </c>
      <c r="C59" s="999"/>
      <c r="D59" s="1515" t="s">
        <v>1316</v>
      </c>
      <c r="E59" s="1517"/>
      <c r="F59" s="967" t="str">
        <f>IF(ISBLANK(C21),"",I13)</f>
        <v/>
      </c>
      <c r="G59" s="968"/>
      <c r="H59" s="1515" t="s">
        <v>259</v>
      </c>
      <c r="I59" s="1516"/>
      <c r="J59" s="1517"/>
      <c r="K59" s="967" t="str">
        <f>IF(ISBLANK(C21),"",B59/F59)</f>
        <v/>
      </c>
      <c r="L59" s="968"/>
      <c r="M59" s="8" t="s">
        <v>151</v>
      </c>
      <c r="P59" s="34"/>
      <c r="Q59" s="141"/>
      <c r="R59" s="8"/>
      <c r="S59" s="8"/>
      <c r="T59" s="55"/>
    </row>
    <row r="60" spans="1:20" ht="17.25" customHeight="1" thickBot="1">
      <c r="A60" s="124" t="s">
        <v>132</v>
      </c>
      <c r="B60" s="8" t="s">
        <v>1315</v>
      </c>
      <c r="D60" s="76"/>
      <c r="E60" s="142"/>
      <c r="F60" s="142"/>
      <c r="G60" s="227"/>
      <c r="I60" s="164"/>
      <c r="J60" s="164"/>
      <c r="O60" s="22" t="s">
        <v>29</v>
      </c>
      <c r="P60" s="612" t="str">
        <f>K59</f>
        <v/>
      </c>
      <c r="Q60" s="1" t="s">
        <v>99</v>
      </c>
      <c r="R60" s="42" t="str">
        <f>I40</f>
        <v/>
      </c>
      <c r="S60" s="35" t="str">
        <f>"Gal"</f>
        <v>Gal</v>
      </c>
      <c r="T60" s="55"/>
    </row>
    <row r="61" spans="1:20" ht="24" customHeight="1">
      <c r="A61" s="54"/>
      <c r="B61" s="7" t="s">
        <v>1318</v>
      </c>
      <c r="C61" s="36"/>
      <c r="D61" s="76"/>
      <c r="E61" s="142"/>
      <c r="F61" s="142"/>
      <c r="G61" s="227"/>
      <c r="I61" s="164"/>
      <c r="J61" s="164"/>
      <c r="Q61" s="8"/>
      <c r="R61" s="42" t="str">
        <f>N21</f>
        <v xml:space="preserve"> </v>
      </c>
      <c r="S61" s="35" t="str">
        <f>"Gal"</f>
        <v>Gal</v>
      </c>
      <c r="T61" s="55"/>
    </row>
    <row r="62" spans="1:20" ht="24" customHeight="1">
      <c r="A62" s="54"/>
      <c r="B62" s="967" t="str">
        <f>IF(ISBLANK(C21),"",I15)</f>
        <v/>
      </c>
      <c r="C62" s="999"/>
      <c r="D62" s="1515" t="s">
        <v>296</v>
      </c>
      <c r="E62" s="1516"/>
      <c r="F62" s="1060"/>
      <c r="G62" s="1062"/>
      <c r="H62" s="1515" t="s">
        <v>1313</v>
      </c>
      <c r="I62" s="1516"/>
      <c r="J62" s="998" t="str">
        <f>IF(ISBLANK(C21),"",B62*F62)</f>
        <v/>
      </c>
      <c r="K62" s="1500"/>
      <c r="L62" s="245" t="s">
        <v>99</v>
      </c>
      <c r="Q62" s="8"/>
      <c r="R62" s="8"/>
      <c r="S62" s="8"/>
      <c r="T62" s="55"/>
    </row>
    <row r="63" spans="1:20" ht="19.5" customHeight="1" thickBot="1">
      <c r="A63" s="885"/>
      <c r="B63" s="886"/>
      <c r="C63" s="886"/>
      <c r="D63" s="887"/>
      <c r="E63" s="888"/>
      <c r="F63" s="888"/>
      <c r="G63" s="887"/>
      <c r="H63" s="886"/>
      <c r="I63" s="889"/>
      <c r="J63" s="890"/>
      <c r="K63" s="883"/>
      <c r="L63" s="883"/>
      <c r="M63" s="883"/>
      <c r="N63" s="883"/>
      <c r="O63" s="883"/>
      <c r="P63" s="883"/>
      <c r="Q63" s="883"/>
      <c r="R63" s="883"/>
      <c r="S63" s="883"/>
      <c r="T63" s="884"/>
    </row>
    <row r="64" spans="1:20" ht="19.5" customHeight="1"/>
    <row r="65" spans="21:22" ht="18" customHeight="1"/>
    <row r="66" spans="21:22" ht="18" customHeight="1"/>
    <row r="67" spans="21:22" ht="18" customHeight="1"/>
    <row r="68" spans="21:22" ht="18" customHeight="1"/>
    <row r="69" spans="21:22" ht="18" customHeight="1"/>
    <row r="70" spans="21:22" ht="18" customHeight="1">
      <c r="U70" s="15"/>
      <c r="V70" s="15"/>
    </row>
    <row r="71" spans="21:22" ht="35.1" customHeight="1">
      <c r="U71" s="15"/>
      <c r="V71" s="15"/>
    </row>
    <row r="72" spans="21:22" ht="35.1" customHeight="1">
      <c r="U72" s="15"/>
      <c r="V72" s="15"/>
    </row>
    <row r="73" spans="21:22" ht="35.1" customHeight="1">
      <c r="U73" s="15"/>
      <c r="V73" s="15"/>
    </row>
    <row r="74" spans="21:22" ht="35.1" customHeight="1">
      <c r="U74" s="69"/>
      <c r="V74" s="1"/>
    </row>
    <row r="75" spans="21:22" ht="35.1" customHeight="1">
      <c r="U75" s="69"/>
      <c r="V75" s="1"/>
    </row>
    <row r="76" spans="21:22" ht="35.1" customHeight="1">
      <c r="U76" s="15"/>
      <c r="V76" s="1"/>
    </row>
  </sheetData>
  <sheetProtection sheet="1" objects="1" scenarios="1"/>
  <mergeCells count="82">
    <mergeCell ref="H59:J59"/>
    <mergeCell ref="K59:L59"/>
    <mergeCell ref="J62:K62"/>
    <mergeCell ref="D53:E53"/>
    <mergeCell ref="H53:I53"/>
    <mergeCell ref="J53:K53"/>
    <mergeCell ref="D59:E59"/>
    <mergeCell ref="D62:E62"/>
    <mergeCell ref="F62:G62"/>
    <mergeCell ref="H62:I62"/>
    <mergeCell ref="B56:C56"/>
    <mergeCell ref="E56:F56"/>
    <mergeCell ref="I56:J56"/>
    <mergeCell ref="M56:N56"/>
    <mergeCell ref="B53:C53"/>
    <mergeCell ref="F53:G53"/>
    <mergeCell ref="C40:D40"/>
    <mergeCell ref="F40:G40"/>
    <mergeCell ref="I40:J40"/>
    <mergeCell ref="Q46:S50"/>
    <mergeCell ref="C48:D48"/>
    <mergeCell ref="E48:F48"/>
    <mergeCell ref="G48:H48"/>
    <mergeCell ref="I48:J48"/>
    <mergeCell ref="K48:L48"/>
    <mergeCell ref="G50:H50"/>
    <mergeCell ref="N48:O48"/>
    <mergeCell ref="K46:L46"/>
    <mergeCell ref="F1:M1"/>
    <mergeCell ref="W6:X6"/>
    <mergeCell ref="AA6:AB6"/>
    <mergeCell ref="AE6:AF6"/>
    <mergeCell ref="F9:J9"/>
    <mergeCell ref="N9:R9"/>
    <mergeCell ref="R6:S6"/>
    <mergeCell ref="B2:K2"/>
    <mergeCell ref="L2:M2"/>
    <mergeCell ref="N2:O2"/>
    <mergeCell ref="I4:J4"/>
    <mergeCell ref="I6:J6"/>
    <mergeCell ref="I11:J11"/>
    <mergeCell ref="N11:T15"/>
    <mergeCell ref="Z11:AA11"/>
    <mergeCell ref="AE11:AF11"/>
    <mergeCell ref="I13:J13"/>
    <mergeCell ref="W13:AK14"/>
    <mergeCell ref="I15:J15"/>
    <mergeCell ref="W15:X15"/>
    <mergeCell ref="AF15:AG15"/>
    <mergeCell ref="A17:T17"/>
    <mergeCell ref="B18:S19"/>
    <mergeCell ref="AF18:AG18"/>
    <mergeCell ref="W20:X20"/>
    <mergeCell ref="AA20:AB20"/>
    <mergeCell ref="AF20:AG20"/>
    <mergeCell ref="B62:C62"/>
    <mergeCell ref="B59:C59"/>
    <mergeCell ref="F59:G59"/>
    <mergeCell ref="H21:I21"/>
    <mergeCell ref="N21:O21"/>
    <mergeCell ref="B22:M22"/>
    <mergeCell ref="N23:O23"/>
    <mergeCell ref="E25:F25"/>
    <mergeCell ref="I25:J25"/>
    <mergeCell ref="N25:O25"/>
    <mergeCell ref="C42:D42"/>
    <mergeCell ref="F42:G42"/>
    <mergeCell ref="J42:K42"/>
    <mergeCell ref="C38:D38"/>
    <mergeCell ref="F38:G38"/>
    <mergeCell ref="J38:K38"/>
    <mergeCell ref="I30:J30"/>
    <mergeCell ref="K30:L30"/>
    <mergeCell ref="C21:D21"/>
    <mergeCell ref="J36:K36"/>
    <mergeCell ref="B28:J28"/>
    <mergeCell ref="K28:L28"/>
    <mergeCell ref="C30:D30"/>
    <mergeCell ref="E30:F30"/>
    <mergeCell ref="G30:H30"/>
    <mergeCell ref="J32:K32"/>
    <mergeCell ref="J34:K34"/>
  </mergeCells>
  <dataValidations count="3">
    <dataValidation type="list" allowBlank="1" showInputMessage="1" sqref="C42:D42" xr:uid="{00000000-0002-0000-0E00-000000000000}">
      <formula1>DepthAlarm</formula1>
    </dataValidation>
    <dataValidation type="whole" allowBlank="1" showInputMessage="1" showErrorMessage="1" error="Must be between Min and Max" sqref="K28:L28" xr:uid="{00000000-0002-0000-0E00-000001000000}">
      <formula1>N23-0.5</formula1>
      <formula2>N25</formula2>
    </dataValidation>
    <dataValidation type="list" allowBlank="1" showInputMessage="1" showErrorMessage="1" sqref="H33" xr:uid="{00000000-0002-0000-0E00-000002000000}">
      <formula1>$AK$41:$AK$43</formula1>
    </dataValidation>
  </dataValidations>
  <printOptions horizontalCentered="1" verticalCentered="1"/>
  <pageMargins left="0.7" right="0.7" top="0.75" bottom="0.75" header="0.3" footer="0.3"/>
  <pageSetup scale="5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tabColor rgb="FFFF6600"/>
  </sheetPr>
  <dimension ref="A1:AU129"/>
  <sheetViews>
    <sheetView showZeros="0" view="pageBreakPreview" zoomScaleNormal="100" zoomScaleSheetLayoutView="100" workbookViewId="0">
      <selection activeCell="I4" sqref="I4:L4"/>
    </sheetView>
  </sheetViews>
  <sheetFormatPr defaultColWidth="6.7109375" defaultRowHeight="24.75" customHeight="1"/>
  <cols>
    <col min="1" max="1" width="3.7109375" style="18" customWidth="1"/>
    <col min="2" max="18" width="6.7109375" style="8" customWidth="1"/>
    <col min="19" max="19" width="6.7109375" style="4" customWidth="1"/>
    <col min="20" max="20" width="6.28515625" style="8" customWidth="1"/>
    <col min="21" max="43" width="6.7109375" style="8"/>
    <col min="44" max="44" width="6.85546875" style="8" bestFit="1" customWidth="1"/>
    <col min="45" max="45" width="7" style="8" bestFit="1" customWidth="1"/>
    <col min="46" max="46" width="6.85546875" style="8" bestFit="1" customWidth="1"/>
    <col min="47" max="16384" width="6.7109375" style="8"/>
  </cols>
  <sheetData>
    <row r="1" spans="1:22" ht="63.75" customHeight="1">
      <c r="B1" s="216"/>
      <c r="C1" s="216"/>
      <c r="D1" s="216"/>
      <c r="F1" s="1392" t="s">
        <v>781</v>
      </c>
      <c r="G1" s="1392"/>
      <c r="H1" s="1392"/>
      <c r="I1" s="1392"/>
      <c r="J1" s="1392"/>
      <c r="K1" s="1392"/>
      <c r="L1" s="1392"/>
      <c r="M1" s="1392"/>
      <c r="N1" s="1392"/>
      <c r="O1" s="216"/>
      <c r="P1" s="217"/>
      <c r="Q1" s="217"/>
      <c r="R1" s="217"/>
      <c r="S1" s="217"/>
    </row>
    <row r="2" spans="1:22" ht="16.350000000000001" customHeight="1">
      <c r="A2" s="401" t="s">
        <v>768</v>
      </c>
      <c r="B2" s="403" t="s">
        <v>769</v>
      </c>
      <c r="C2" s="402"/>
      <c r="D2" s="402"/>
      <c r="E2" s="402"/>
      <c r="F2" s="402"/>
      <c r="G2" s="402"/>
      <c r="H2" s="402"/>
      <c r="I2" s="1469" t="s">
        <v>832</v>
      </c>
      <c r="J2" s="1469"/>
      <c r="K2" s="1473" t="str">
        <f>IF(ISBLANK('Design Summary'!Q3)," ",'Design Summary'!Q3)</f>
        <v xml:space="preserve"> </v>
      </c>
      <c r="L2" s="1473"/>
      <c r="M2" s="402"/>
      <c r="N2" s="402"/>
      <c r="O2" s="402"/>
      <c r="P2" s="402"/>
      <c r="Q2" s="402"/>
      <c r="R2" s="402"/>
      <c r="S2" s="404" t="str">
        <f>'Drop-Down Lists'!$J40</f>
        <v>v 04.20.2016</v>
      </c>
      <c r="T2" s="68"/>
      <c r="U2" s="68"/>
      <c r="V2" s="68"/>
    </row>
    <row r="3" spans="1:22" ht="6" customHeight="1">
      <c r="A3" s="768"/>
      <c r="B3" s="201"/>
      <c r="C3" s="201"/>
      <c r="D3" s="201"/>
      <c r="E3" s="201"/>
      <c r="F3" s="201"/>
      <c r="G3" s="201"/>
      <c r="H3" s="201"/>
      <c r="I3" s="201"/>
      <c r="J3" s="201"/>
      <c r="K3" s="201"/>
      <c r="L3" s="201"/>
      <c r="M3" s="201"/>
      <c r="N3" s="201"/>
      <c r="O3" s="201"/>
      <c r="P3" s="201"/>
      <c r="Q3" s="201"/>
      <c r="R3" s="201"/>
      <c r="S3" s="202"/>
      <c r="T3" s="68"/>
      <c r="U3" s="68"/>
      <c r="V3" s="68"/>
    </row>
    <row r="4" spans="1:22" ht="21" customHeight="1">
      <c r="A4" s="196"/>
      <c r="B4" s="1470" t="s">
        <v>0</v>
      </c>
      <c r="C4" s="1470"/>
      <c r="D4" s="1470"/>
      <c r="E4" s="1470"/>
      <c r="F4" s="1470"/>
      <c r="G4" s="1471"/>
      <c r="H4" s="1471"/>
      <c r="I4" s="1476"/>
      <c r="J4" s="1477"/>
      <c r="K4" s="1477"/>
      <c r="L4" s="1478"/>
      <c r="M4" s="68"/>
      <c r="N4" s="438"/>
      <c r="O4" s="68"/>
      <c r="P4" s="68"/>
      <c r="Q4" s="68"/>
      <c r="S4" s="816">
        <v>0</v>
      </c>
      <c r="T4" s="68"/>
      <c r="U4" s="439">
        <v>1</v>
      </c>
      <c r="V4" s="68"/>
    </row>
    <row r="5" spans="1:22" ht="6" customHeight="1">
      <c r="A5" s="196"/>
      <c r="B5" s="68"/>
      <c r="C5" s="68"/>
      <c r="D5" s="68"/>
      <c r="E5" s="68"/>
      <c r="F5" s="68"/>
      <c r="G5" s="68"/>
      <c r="H5" s="68"/>
      <c r="I5" s="68"/>
      <c r="J5" s="68"/>
      <c r="K5" s="68"/>
      <c r="L5" s="68"/>
      <c r="M5" s="68"/>
      <c r="N5" s="68"/>
      <c r="O5" s="68"/>
      <c r="P5" s="68"/>
      <c r="Q5" s="68"/>
      <c r="R5" s="247"/>
      <c r="S5" s="817"/>
      <c r="T5" s="68"/>
      <c r="U5" s="68"/>
      <c r="V5" s="68"/>
    </row>
    <row r="6" spans="1:22" ht="19.899999999999999" customHeight="1">
      <c r="A6" s="198"/>
      <c r="B6" s="8" t="s">
        <v>1</v>
      </c>
      <c r="K6" s="1518"/>
      <c r="L6" s="1519"/>
      <c r="M6" s="8" t="s">
        <v>141</v>
      </c>
      <c r="N6" s="420" t="s">
        <v>788</v>
      </c>
      <c r="S6" s="125"/>
    </row>
    <row r="7" spans="1:22" ht="6" customHeight="1">
      <c r="A7" s="72"/>
      <c r="R7" s="91"/>
      <c r="S7" s="818"/>
    </row>
    <row r="8" spans="1:22" ht="19.899999999999999" customHeight="1">
      <c r="A8" s="199"/>
      <c r="B8" s="1053" t="s">
        <v>813</v>
      </c>
      <c r="C8" s="1053"/>
      <c r="D8" s="1053"/>
      <c r="E8" s="1053"/>
      <c r="F8" s="1053"/>
      <c r="G8" s="1053"/>
      <c r="H8" s="1053"/>
      <c r="K8" s="1520" t="str">
        <f>IF(I4="Pressure", MAX('Pres. Dist.'!L58,'Non-Level Pres. Dist.'!N172), " ")</f>
        <v xml:space="preserve"> </v>
      </c>
      <c r="L8" s="1521"/>
      <c r="M8" s="8" t="s">
        <v>141</v>
      </c>
      <c r="S8" s="823"/>
    </row>
    <row r="9" spans="1:22" ht="6" customHeight="1">
      <c r="A9" s="72"/>
      <c r="S9" s="125"/>
    </row>
    <row r="10" spans="1:22" ht="19.899999999999999" customHeight="1">
      <c r="A10" s="198" t="s">
        <v>221</v>
      </c>
      <c r="B10" s="8" t="s">
        <v>1023</v>
      </c>
      <c r="K10" s="1144"/>
      <c r="L10" s="1145"/>
      <c r="M10" s="1145"/>
      <c r="N10" s="1145"/>
      <c r="O10" s="1145"/>
      <c r="P10" s="1177"/>
      <c r="R10" s="91"/>
      <c r="S10" s="125"/>
    </row>
    <row r="11" spans="1:22" ht="6" customHeight="1">
      <c r="A11" s="72"/>
      <c r="S11" s="125"/>
    </row>
    <row r="12" spans="1:22" ht="16.350000000000001" customHeight="1">
      <c r="A12" s="1466" t="s">
        <v>311</v>
      </c>
      <c r="B12" s="1467"/>
      <c r="C12" s="1467"/>
      <c r="D12" s="1467"/>
      <c r="E12" s="1467"/>
      <c r="F12" s="1467"/>
      <c r="G12" s="1467"/>
      <c r="H12" s="1467"/>
      <c r="I12" s="1467"/>
      <c r="J12" s="1467"/>
      <c r="K12" s="1467"/>
      <c r="L12" s="1467"/>
      <c r="M12" s="1467"/>
      <c r="N12" s="1467"/>
      <c r="O12" s="1467"/>
      <c r="P12" s="1467"/>
      <c r="Q12" s="1467"/>
      <c r="R12" s="1467"/>
      <c r="S12" s="1468"/>
      <c r="T12" s="68"/>
      <c r="U12" s="68"/>
      <c r="V12" s="68"/>
    </row>
    <row r="13" spans="1:22" ht="6" customHeight="1">
      <c r="A13" s="200"/>
      <c r="B13" s="201"/>
      <c r="C13" s="201"/>
      <c r="D13" s="201"/>
      <c r="E13" s="201"/>
      <c r="F13" s="201"/>
      <c r="G13" s="201"/>
      <c r="H13" s="201"/>
      <c r="I13" s="201"/>
      <c r="J13" s="201"/>
      <c r="K13" s="201"/>
      <c r="L13" s="201"/>
      <c r="M13" s="201"/>
      <c r="N13" s="201"/>
      <c r="O13" s="201"/>
      <c r="P13" s="201"/>
      <c r="Q13" s="201"/>
      <c r="R13" s="201"/>
      <c r="S13" s="202"/>
      <c r="T13" s="68"/>
    </row>
    <row r="14" spans="1:22" ht="19.899999999999999" customHeight="1">
      <c r="A14" s="198" t="s">
        <v>154</v>
      </c>
      <c r="B14" s="1056" t="s">
        <v>616</v>
      </c>
      <c r="C14" s="1056"/>
      <c r="D14" s="1056"/>
      <c r="E14" s="1056"/>
      <c r="F14" s="1060"/>
      <c r="G14" s="1062"/>
      <c r="H14" s="8" t="s">
        <v>97</v>
      </c>
      <c r="K14" s="68"/>
      <c r="L14" s="68"/>
      <c r="M14" s="68"/>
      <c r="N14" s="68"/>
      <c r="O14" s="68"/>
      <c r="P14" s="68"/>
      <c r="Q14" s="68"/>
      <c r="R14" s="68"/>
      <c r="S14" s="197"/>
      <c r="T14" s="68"/>
    </row>
    <row r="15" spans="1:22" ht="18" customHeight="1">
      <c r="A15" s="72"/>
      <c r="B15" s="1056" t="s">
        <v>58</v>
      </c>
      <c r="C15" s="1056"/>
      <c r="D15" s="1056"/>
      <c r="E15" s="1056"/>
      <c r="F15" s="1056"/>
      <c r="G15" s="1056"/>
      <c r="H15" s="1056"/>
      <c r="K15" s="68"/>
      <c r="L15" s="68"/>
      <c r="M15" s="68"/>
      <c r="N15" s="68"/>
      <c r="O15" s="68"/>
      <c r="P15" s="68"/>
      <c r="Q15" s="68"/>
      <c r="R15" s="68"/>
      <c r="S15" s="197"/>
      <c r="T15" s="68"/>
    </row>
    <row r="16" spans="1:22" ht="6" customHeight="1">
      <c r="A16" s="199"/>
      <c r="B16" s="77"/>
      <c r="C16" s="77"/>
      <c r="D16" s="77"/>
      <c r="E16" s="77"/>
      <c r="F16" s="229"/>
      <c r="G16" s="229"/>
      <c r="H16" s="77"/>
      <c r="I16" s="77"/>
      <c r="J16" s="77"/>
      <c r="K16" s="10"/>
      <c r="L16" s="10"/>
      <c r="M16" s="10"/>
      <c r="N16" s="10"/>
      <c r="O16" s="10"/>
      <c r="P16" s="10"/>
      <c r="Q16" s="39"/>
      <c r="S16" s="126"/>
    </row>
    <row r="17" spans="1:19" ht="19.899999999999999" customHeight="1">
      <c r="A17" s="198" t="s">
        <v>527</v>
      </c>
      <c r="B17" s="1053" t="s">
        <v>615</v>
      </c>
      <c r="C17" s="1053"/>
      <c r="D17" s="1053"/>
      <c r="E17" s="1053"/>
      <c r="F17" s="1474"/>
      <c r="G17" s="1475"/>
      <c r="H17" s="8" t="s">
        <v>97</v>
      </c>
      <c r="I17" s="10"/>
      <c r="J17" s="10"/>
      <c r="K17" s="10"/>
      <c r="L17" s="10"/>
      <c r="M17" s="10"/>
      <c r="N17" s="10"/>
      <c r="O17" s="10"/>
      <c r="P17" s="10"/>
      <c r="Q17" s="39"/>
      <c r="S17" s="126"/>
    </row>
    <row r="18" spans="1:19" ht="6" customHeight="1">
      <c r="A18" s="199"/>
      <c r="K18" s="10"/>
      <c r="L18" s="10"/>
      <c r="M18" s="10"/>
      <c r="N18" s="10"/>
      <c r="O18" s="10"/>
      <c r="P18" s="10"/>
      <c r="Q18" s="39"/>
      <c r="S18" s="126"/>
    </row>
    <row r="19" spans="1:19" ht="19.899999999999999" customHeight="1">
      <c r="A19" s="198" t="s">
        <v>156</v>
      </c>
      <c r="B19" s="1056" t="s">
        <v>620</v>
      </c>
      <c r="C19" s="1056"/>
      <c r="D19" s="1056"/>
      <c r="E19" s="1057"/>
      <c r="F19" s="1060"/>
      <c r="G19" s="1062"/>
      <c r="H19" s="1136" t="s">
        <v>1026</v>
      </c>
      <c r="I19" s="1471"/>
      <c r="J19" s="1471"/>
      <c r="K19" s="1471"/>
      <c r="L19" s="1471"/>
      <c r="M19" s="1471"/>
      <c r="N19" s="1471"/>
      <c r="O19" s="10"/>
      <c r="P19" s="10"/>
      <c r="Q19" s="39"/>
      <c r="S19" s="126"/>
    </row>
    <row r="20" spans="1:19" ht="6" customHeight="1">
      <c r="A20" s="199"/>
      <c r="B20" s="230"/>
      <c r="I20" s="10"/>
      <c r="J20" s="10"/>
      <c r="K20" s="10"/>
      <c r="L20" s="10"/>
      <c r="M20" s="10"/>
      <c r="N20" s="10"/>
      <c r="O20" s="10"/>
      <c r="P20" s="10"/>
      <c r="Q20" s="39"/>
      <c r="S20" s="126"/>
    </row>
    <row r="21" spans="1:19" ht="23.45" customHeight="1">
      <c r="A21" s="199"/>
      <c r="I21" s="10"/>
      <c r="J21" s="10"/>
      <c r="K21" s="10"/>
      <c r="L21" s="10"/>
      <c r="M21" s="10"/>
      <c r="N21" s="10"/>
      <c r="O21" s="10"/>
      <c r="P21" s="10"/>
      <c r="Q21" s="39"/>
      <c r="S21" s="126"/>
    </row>
    <row r="22" spans="1:19" ht="23.45" customHeight="1">
      <c r="A22" s="199"/>
      <c r="I22" s="10"/>
      <c r="J22" s="10"/>
      <c r="K22" s="10"/>
      <c r="L22" s="10"/>
      <c r="M22" s="10"/>
      <c r="N22" s="10"/>
      <c r="O22" s="10"/>
      <c r="P22" s="10"/>
      <c r="Q22" s="39"/>
      <c r="S22" s="126"/>
    </row>
    <row r="23" spans="1:19" ht="23.45" customHeight="1">
      <c r="A23" s="199"/>
      <c r="I23" s="10"/>
      <c r="J23" s="10"/>
      <c r="K23" s="10"/>
      <c r="L23" s="10"/>
      <c r="M23" s="10"/>
      <c r="N23" s="10"/>
      <c r="O23" s="10"/>
      <c r="P23" s="10"/>
      <c r="Q23" s="39"/>
      <c r="S23" s="126"/>
    </row>
    <row r="24" spans="1:19" ht="23.45" customHeight="1">
      <c r="A24" s="199"/>
      <c r="I24" s="10"/>
      <c r="J24" s="10"/>
      <c r="K24" s="10"/>
      <c r="L24" s="10"/>
      <c r="M24" s="10"/>
      <c r="N24" s="10"/>
      <c r="O24" s="10"/>
      <c r="P24" s="10"/>
      <c r="Q24" s="39"/>
      <c r="S24" s="126"/>
    </row>
    <row r="25" spans="1:19" ht="23.45" customHeight="1">
      <c r="A25" s="199"/>
      <c r="I25" s="10"/>
      <c r="J25" s="10"/>
      <c r="K25" s="10"/>
      <c r="L25" s="10"/>
      <c r="M25" s="10"/>
      <c r="N25" s="10"/>
      <c r="O25" s="10"/>
      <c r="P25" s="10"/>
      <c r="Q25" s="39"/>
      <c r="S25" s="126"/>
    </row>
    <row r="26" spans="1:19" ht="23.45" customHeight="1">
      <c r="A26" s="199"/>
      <c r="I26" s="10"/>
      <c r="J26" s="10"/>
      <c r="K26" s="10"/>
      <c r="L26" s="10"/>
      <c r="M26" s="10"/>
      <c r="N26" s="10"/>
      <c r="O26" s="10"/>
      <c r="P26" s="10"/>
      <c r="Q26" s="39"/>
      <c r="S26" s="126"/>
    </row>
    <row r="27" spans="1:19" ht="23.45" customHeight="1">
      <c r="A27" s="199"/>
      <c r="D27" s="18"/>
      <c r="E27" s="18"/>
      <c r="K27" s="1141"/>
      <c r="L27" s="1141"/>
      <c r="M27" s="3"/>
      <c r="N27" s="3"/>
      <c r="O27" s="3"/>
      <c r="P27" s="3"/>
      <c r="Q27" s="39"/>
      <c r="R27" s="66"/>
      <c r="S27" s="126"/>
    </row>
    <row r="28" spans="1:19" ht="19.899999999999999" customHeight="1">
      <c r="A28" s="198" t="s">
        <v>476</v>
      </c>
      <c r="B28" s="1053" t="s">
        <v>814</v>
      </c>
      <c r="C28" s="1053"/>
      <c r="D28" s="1053"/>
      <c r="E28" s="1137"/>
      <c r="F28" s="1393"/>
      <c r="G28" s="1394"/>
      <c r="H28" s="8" t="s">
        <v>99</v>
      </c>
      <c r="I28" s="412"/>
      <c r="J28" s="413"/>
      <c r="K28" s="411"/>
      <c r="L28" s="411"/>
      <c r="M28" s="3"/>
      <c r="N28" s="3"/>
      <c r="O28" s="414"/>
      <c r="P28" s="414"/>
      <c r="Q28" s="66"/>
      <c r="R28" s="66"/>
      <c r="S28" s="126"/>
    </row>
    <row r="29" spans="1:19" ht="6" customHeight="1">
      <c r="A29" s="198"/>
      <c r="F29" s="195"/>
      <c r="G29" s="195"/>
      <c r="H29" s="108"/>
      <c r="I29" s="413"/>
      <c r="J29" s="413"/>
      <c r="K29" s="411"/>
      <c r="L29" s="411"/>
      <c r="M29" s="4"/>
      <c r="N29" s="4"/>
      <c r="O29" s="19"/>
      <c r="P29" s="19"/>
      <c r="Q29" s="66"/>
      <c r="R29" s="66"/>
      <c r="S29" s="126"/>
    </row>
    <row r="30" spans="1:19" ht="19.899999999999999" customHeight="1">
      <c r="A30" s="198"/>
      <c r="B30" s="1053" t="s">
        <v>815</v>
      </c>
      <c r="C30" s="1053"/>
      <c r="D30" s="1053"/>
      <c r="E30" s="1137"/>
      <c r="F30" s="1148"/>
      <c r="G30" s="1149"/>
      <c r="H30" s="8" t="s">
        <v>97</v>
      </c>
      <c r="I30" s="413"/>
      <c r="J30" s="413"/>
      <c r="K30" s="411"/>
      <c r="L30" s="411"/>
      <c r="M30" s="4"/>
      <c r="N30" s="4"/>
      <c r="O30" s="19"/>
      <c r="P30" s="19"/>
      <c r="Q30" s="66"/>
      <c r="R30" s="66"/>
      <c r="S30" s="126"/>
    </row>
    <row r="31" spans="1:19" ht="6" customHeight="1">
      <c r="A31" s="198"/>
      <c r="F31" s="195"/>
      <c r="G31" s="195"/>
      <c r="H31" s="108"/>
      <c r="K31" s="4"/>
      <c r="L31" s="4"/>
      <c r="M31" s="4"/>
      <c r="N31" s="4"/>
      <c r="O31" s="19"/>
      <c r="P31" s="19"/>
      <c r="Q31" s="66"/>
      <c r="R31" s="66"/>
      <c r="S31" s="126"/>
    </row>
    <row r="32" spans="1:19" ht="18" customHeight="1">
      <c r="A32" s="198" t="s">
        <v>477</v>
      </c>
      <c r="B32" s="1522" t="s">
        <v>1211</v>
      </c>
      <c r="C32" s="1522"/>
      <c r="D32" s="1522"/>
      <c r="E32" s="1522"/>
      <c r="F32" s="1522"/>
      <c r="G32" s="1522"/>
      <c r="H32" s="1522"/>
      <c r="I32" s="1522"/>
      <c r="J32" s="1522"/>
      <c r="K32" s="1141"/>
      <c r="L32" s="1141"/>
      <c r="M32" s="3"/>
      <c r="N32" s="3"/>
      <c r="O32" s="414"/>
      <c r="P32" s="414"/>
      <c r="Q32" s="66"/>
      <c r="R32" s="66"/>
      <c r="S32" s="126"/>
    </row>
    <row r="33" spans="1:19" ht="10.5" customHeight="1">
      <c r="A33" s="198"/>
      <c r="K33" s="4"/>
      <c r="L33" s="4"/>
      <c r="M33" s="4"/>
      <c r="N33" s="4"/>
      <c r="O33" s="19"/>
      <c r="P33" s="19"/>
      <c r="Q33" s="66"/>
      <c r="R33" s="66"/>
      <c r="S33" s="126"/>
    </row>
    <row r="34" spans="1:19" ht="19.899999999999999" customHeight="1">
      <c r="A34" s="72"/>
      <c r="B34" s="8" t="s">
        <v>618</v>
      </c>
      <c r="E34" s="1087" t="str">
        <f>IF(ISBLANK(F28),"",(1042*((MAX(K8,K6)/(130*F28^2.63))^1.85)))</f>
        <v/>
      </c>
      <c r="F34" s="1088"/>
      <c r="G34" s="1136" t="s">
        <v>617</v>
      </c>
      <c r="H34" s="1053"/>
      <c r="I34" s="1053"/>
      <c r="J34" s="1053"/>
      <c r="N34" s="37"/>
      <c r="O34" s="37"/>
      <c r="P34" s="66"/>
      <c r="Q34" s="66"/>
      <c r="R34" s="66"/>
      <c r="S34" s="126"/>
    </row>
    <row r="35" spans="1:19" ht="6" customHeight="1">
      <c r="A35" s="72"/>
      <c r="F35" s="195"/>
      <c r="G35" s="195"/>
      <c r="N35" s="37"/>
      <c r="O35" s="37"/>
      <c r="P35" s="66"/>
      <c r="Q35" s="66"/>
      <c r="R35" s="66"/>
      <c r="S35" s="126"/>
    </row>
    <row r="36" spans="1:19" ht="18" customHeight="1">
      <c r="A36" s="198" t="s">
        <v>539</v>
      </c>
      <c r="B36" s="1368" t="s">
        <v>816</v>
      </c>
      <c r="C36" s="1368"/>
      <c r="D36" s="1368"/>
      <c r="E36" s="1368"/>
      <c r="F36" s="1368"/>
      <c r="G36" s="1368"/>
      <c r="H36" s="1368"/>
      <c r="I36" s="1368"/>
      <c r="J36" s="1368"/>
      <c r="K36" s="1368"/>
      <c r="L36" s="1368"/>
      <c r="M36" s="10"/>
      <c r="N36" s="10"/>
      <c r="O36" s="37"/>
      <c r="P36" s="66"/>
      <c r="Q36" s="66"/>
      <c r="R36" s="66"/>
      <c r="S36" s="126"/>
    </row>
    <row r="37" spans="1:19" ht="18" customHeight="1">
      <c r="A37" s="198"/>
      <c r="B37" s="1368"/>
      <c r="C37" s="1368"/>
      <c r="D37" s="1368"/>
      <c r="E37" s="1368"/>
      <c r="F37" s="1368"/>
      <c r="G37" s="1368"/>
      <c r="H37" s="1368"/>
      <c r="I37" s="1368"/>
      <c r="J37" s="1368"/>
      <c r="K37" s="1368"/>
      <c r="L37" s="1368"/>
      <c r="M37" s="10"/>
      <c r="N37" s="10"/>
      <c r="O37" s="37"/>
      <c r="P37" s="66"/>
      <c r="Q37" s="66"/>
      <c r="S37" s="126"/>
    </row>
    <row r="38" spans="1:19" ht="18" customHeight="1">
      <c r="A38" s="198"/>
      <c r="B38" s="1368"/>
      <c r="C38" s="1368"/>
      <c r="D38" s="1368"/>
      <c r="E38" s="1368"/>
      <c r="F38" s="1368"/>
      <c r="G38" s="1368"/>
      <c r="H38" s="1368"/>
      <c r="I38" s="1368"/>
      <c r="J38" s="1368"/>
      <c r="K38" s="1368"/>
      <c r="L38" s="1368"/>
      <c r="M38" s="10"/>
      <c r="N38" s="10"/>
      <c r="O38" s="37"/>
      <c r="P38" s="66"/>
      <c r="Q38" s="66"/>
      <c r="S38" s="126"/>
    </row>
    <row r="39" spans="1:19" ht="19.899999999999999" customHeight="1">
      <c r="A39" s="72"/>
      <c r="B39" s="961" t="str">
        <f>IF(ISBLANK(F30),"",F30)</f>
        <v/>
      </c>
      <c r="C39" s="962"/>
      <c r="D39" s="4" t="s">
        <v>97</v>
      </c>
      <c r="E39" s="4" t="s">
        <v>106</v>
      </c>
      <c r="F39" s="4">
        <v>1.25</v>
      </c>
      <c r="G39" s="4" t="s">
        <v>107</v>
      </c>
      <c r="H39" s="967" t="str">
        <f>IF(ISBLANK(F30),"",(B39*1.25))</f>
        <v/>
      </c>
      <c r="I39" s="968"/>
      <c r="J39" s="8" t="s">
        <v>97</v>
      </c>
      <c r="K39" s="188"/>
      <c r="L39" s="188"/>
      <c r="M39" s="109"/>
      <c r="S39" s="126"/>
    </row>
    <row r="40" spans="1:19" ht="6" customHeight="1">
      <c r="A40" s="72"/>
      <c r="F40" s="188"/>
      <c r="G40" s="188"/>
      <c r="H40" s="108"/>
      <c r="I40" s="108"/>
      <c r="J40" s="108"/>
      <c r="K40" s="108"/>
      <c r="L40" s="188"/>
      <c r="M40" s="188"/>
      <c r="N40" s="188"/>
      <c r="O40" s="109"/>
      <c r="S40" s="126"/>
    </row>
    <row r="41" spans="1:19" ht="18" customHeight="1">
      <c r="A41" s="198" t="s">
        <v>540</v>
      </c>
      <c r="B41" s="1056" t="s">
        <v>817</v>
      </c>
      <c r="C41" s="1056"/>
      <c r="D41" s="1056"/>
      <c r="E41" s="1056"/>
      <c r="F41" s="1056"/>
      <c r="G41" s="1056"/>
      <c r="H41" s="1056"/>
      <c r="I41" s="1056"/>
      <c r="J41" s="1056"/>
      <c r="K41" s="1056"/>
      <c r="L41" s="1056"/>
      <c r="M41" s="1056"/>
      <c r="N41" s="1056"/>
      <c r="O41" s="1056"/>
      <c r="P41" s="1056"/>
      <c r="Q41" s="1056"/>
      <c r="R41" s="1056"/>
      <c r="S41" s="1057"/>
    </row>
    <row r="42" spans="1:19" ht="18" customHeight="1">
      <c r="A42" s="199"/>
      <c r="B42" s="1053" t="s">
        <v>619</v>
      </c>
      <c r="C42" s="1053"/>
      <c r="D42" s="1053"/>
      <c r="E42" s="1053"/>
      <c r="F42" s="10"/>
      <c r="G42" s="10"/>
      <c r="H42" s="10"/>
      <c r="I42" s="10"/>
      <c r="J42" s="10"/>
      <c r="K42" s="10"/>
      <c r="L42" s="10"/>
      <c r="M42" s="10"/>
      <c r="S42" s="126"/>
    </row>
    <row r="43" spans="1:19" ht="19.899999999999999" customHeight="1">
      <c r="A43" s="72"/>
      <c r="B43" s="1087" t="str">
        <f>IF(ISBLANK(E34)," ",E34)</f>
        <v/>
      </c>
      <c r="C43" s="1088"/>
      <c r="D43" s="8" t="s">
        <v>291</v>
      </c>
      <c r="G43" s="4" t="s">
        <v>106</v>
      </c>
      <c r="H43" s="967" t="str">
        <f>H39</f>
        <v/>
      </c>
      <c r="I43" s="968"/>
      <c r="J43" s="8" t="s">
        <v>97</v>
      </c>
      <c r="K43" s="231" t="s">
        <v>613</v>
      </c>
      <c r="L43" s="4">
        <v>100</v>
      </c>
      <c r="M43" s="4" t="s">
        <v>107</v>
      </c>
      <c r="N43" s="967" t="str">
        <f>IF(ISBLANK(F30),"",((B43*H43)/100))</f>
        <v/>
      </c>
      <c r="O43" s="968"/>
      <c r="P43" s="8" t="s">
        <v>97</v>
      </c>
      <c r="S43" s="126"/>
    </row>
    <row r="44" spans="1:19" ht="6" customHeight="1">
      <c r="A44" s="755"/>
      <c r="B44" s="79"/>
      <c r="C44" s="203"/>
      <c r="D44" s="203"/>
      <c r="E44" s="204"/>
      <c r="F44" s="79"/>
      <c r="G44" s="161"/>
      <c r="H44" s="203"/>
      <c r="I44" s="203"/>
      <c r="J44" s="204"/>
      <c r="K44" s="205"/>
      <c r="L44" s="214"/>
      <c r="M44" s="214"/>
      <c r="N44" s="214"/>
      <c r="O44" s="214"/>
      <c r="P44" s="214"/>
      <c r="Q44" s="214"/>
      <c r="R44" s="214"/>
      <c r="S44" s="792"/>
    </row>
    <row r="45" spans="1:19" ht="6" customHeight="1">
      <c r="A45" s="187"/>
      <c r="B45" s="57"/>
      <c r="C45" s="208"/>
      <c r="D45" s="208"/>
      <c r="E45" s="209"/>
      <c r="F45" s="57"/>
      <c r="G45" s="210"/>
      <c r="H45" s="208"/>
      <c r="I45" s="208"/>
      <c r="J45" s="209"/>
      <c r="K45" s="211"/>
      <c r="L45" s="210"/>
      <c r="M45" s="232"/>
      <c r="N45" s="209"/>
      <c r="O45" s="212"/>
      <c r="P45" s="212"/>
      <c r="Q45" s="212"/>
      <c r="R45" s="212"/>
      <c r="S45" s="819"/>
    </row>
    <row r="46" spans="1:19" ht="18" customHeight="1">
      <c r="A46" s="198" t="s">
        <v>541</v>
      </c>
      <c r="B46" s="1397" t="s">
        <v>818</v>
      </c>
      <c r="C46" s="1397"/>
      <c r="D46" s="1397"/>
      <c r="E46" s="1397"/>
      <c r="F46" s="1397"/>
      <c r="G46" s="1397"/>
      <c r="H46" s="1397"/>
      <c r="I46" s="1397"/>
      <c r="J46" s="1397"/>
      <c r="K46" s="1397"/>
      <c r="L46" s="1397"/>
      <c r="M46" s="1397"/>
      <c r="N46" s="1397"/>
      <c r="O46" s="1397"/>
      <c r="P46" s="1397"/>
      <c r="Q46" s="1397"/>
      <c r="R46" s="1397"/>
      <c r="S46" s="1417"/>
    </row>
    <row r="47" spans="1:19" ht="18" customHeight="1">
      <c r="A47" s="199"/>
      <c r="B47" s="1397"/>
      <c r="C47" s="1397"/>
      <c r="D47" s="1397"/>
      <c r="E47" s="1397"/>
      <c r="F47" s="1397"/>
      <c r="G47" s="1397"/>
      <c r="H47" s="1397"/>
      <c r="I47" s="1397"/>
      <c r="J47" s="1397"/>
      <c r="K47" s="1397"/>
      <c r="L47" s="1397"/>
      <c r="M47" s="1397"/>
      <c r="N47" s="1397"/>
      <c r="O47" s="1397"/>
      <c r="P47" s="1397"/>
      <c r="Q47" s="1397"/>
      <c r="R47" s="1397"/>
      <c r="S47" s="1417"/>
    </row>
    <row r="48" spans="1:19" ht="6" customHeight="1">
      <c r="A48" s="199"/>
      <c r="B48" s="36"/>
      <c r="C48" s="36"/>
      <c r="D48" s="36"/>
      <c r="E48" s="36"/>
      <c r="F48" s="36"/>
      <c r="G48" s="36"/>
      <c r="H48" s="36"/>
      <c r="I48" s="36"/>
      <c r="J48" s="36"/>
      <c r="K48" s="36"/>
      <c r="L48" s="36"/>
      <c r="M48" s="36"/>
      <c r="N48" s="36"/>
      <c r="P48" s="36"/>
      <c r="Q48" s="36"/>
      <c r="R48" s="4"/>
      <c r="S48" s="126"/>
    </row>
    <row r="49" spans="1:47" ht="19.899999999999999" customHeight="1">
      <c r="A49" s="72"/>
      <c r="B49" s="967" t="str">
        <f>IF(ISBLANK(F14)," ",(F14))</f>
        <v xml:space="preserve"> </v>
      </c>
      <c r="C49" s="968"/>
      <c r="D49" s="8" t="s">
        <v>290</v>
      </c>
      <c r="E49" s="4" t="s">
        <v>315</v>
      </c>
      <c r="F49" s="967" t="str">
        <f>IF(ISBLANK(F17)," ",(F17))</f>
        <v xml:space="preserve"> </v>
      </c>
      <c r="G49" s="968"/>
      <c r="H49" s="8" t="s">
        <v>97</v>
      </c>
      <c r="I49" s="4" t="s">
        <v>315</v>
      </c>
      <c r="J49" s="967" t="str">
        <f>IF(ISBLANK(F19)," ",F19)</f>
        <v xml:space="preserve"> </v>
      </c>
      <c r="K49" s="968"/>
      <c r="L49" s="8" t="s">
        <v>608</v>
      </c>
      <c r="M49" s="967" t="str">
        <f>IF(ISBLANK(N43)," ",N43)</f>
        <v/>
      </c>
      <c r="N49" s="968"/>
      <c r="O49" s="8" t="s">
        <v>785</v>
      </c>
      <c r="P49" s="967" t="str">
        <f>IF(ISBLANK(F28),"",SUM(B49,J49,F49+M49,))</f>
        <v/>
      </c>
      <c r="Q49" s="968"/>
      <c r="R49" s="8" t="s">
        <v>97</v>
      </c>
      <c r="S49" s="125"/>
    </row>
    <row r="50" spans="1:47" ht="6" customHeight="1">
      <c r="A50" s="222"/>
      <c r="B50" s="79"/>
      <c r="C50" s="79"/>
      <c r="D50" s="79"/>
      <c r="E50" s="79"/>
      <c r="F50" s="79"/>
      <c r="G50" s="79"/>
      <c r="H50" s="79"/>
      <c r="I50" s="79"/>
      <c r="J50" s="79"/>
      <c r="K50" s="79"/>
      <c r="L50" s="79"/>
      <c r="M50" s="79"/>
      <c r="N50" s="79"/>
      <c r="O50" s="79"/>
      <c r="P50" s="53"/>
      <c r="Q50" s="79"/>
      <c r="R50" s="51"/>
      <c r="S50" s="820"/>
    </row>
    <row r="51" spans="1:47" ht="16.350000000000001" customHeight="1">
      <c r="A51" s="1487" t="s">
        <v>312</v>
      </c>
      <c r="B51" s="1488"/>
      <c r="C51" s="1488"/>
      <c r="D51" s="1488"/>
      <c r="E51" s="1488"/>
      <c r="F51" s="1488"/>
      <c r="G51" s="1488"/>
      <c r="H51" s="1488"/>
      <c r="I51" s="1488"/>
      <c r="J51" s="1488"/>
      <c r="K51" s="1488"/>
      <c r="L51" s="1488"/>
      <c r="M51" s="1488"/>
      <c r="N51" s="1488"/>
      <c r="O51" s="1488"/>
      <c r="P51" s="1488"/>
      <c r="Q51" s="1488"/>
      <c r="R51" s="1488"/>
      <c r="S51" s="1489"/>
      <c r="T51" s="68"/>
    </row>
    <row r="52" spans="1:47" ht="20.45" customHeight="1">
      <c r="A52" s="1490" t="s">
        <v>152</v>
      </c>
      <c r="B52" s="1491"/>
      <c r="C52" s="1491"/>
      <c r="D52" s="1491"/>
      <c r="E52" s="1491"/>
      <c r="F52" s="1491"/>
      <c r="G52" s="1491"/>
      <c r="H52" s="1492" t="str">
        <f>IF(ISBLANK(F14),"",MAX(K6,K8))</f>
        <v/>
      </c>
      <c r="I52" s="1492"/>
      <c r="J52" s="276" t="s">
        <v>153</v>
      </c>
      <c r="K52" s="276"/>
      <c r="L52" s="276"/>
      <c r="M52" s="276"/>
      <c r="N52" s="276"/>
      <c r="O52" s="1492" t="str">
        <f>IF(ISBLANK(F14),"  ",P49)</f>
        <v xml:space="preserve">  </v>
      </c>
      <c r="P52" s="1492"/>
      <c r="Q52" s="276" t="s">
        <v>614</v>
      </c>
      <c r="S52" s="821"/>
    </row>
    <row r="53" spans="1:47" ht="6" customHeight="1">
      <c r="A53" s="187"/>
      <c r="B53" s="57"/>
      <c r="C53" s="208"/>
      <c r="D53" s="208"/>
      <c r="E53" s="209"/>
      <c r="F53" s="57"/>
      <c r="G53" s="210"/>
      <c r="H53" s="208"/>
      <c r="I53" s="208"/>
      <c r="J53" s="209"/>
      <c r="K53" s="211"/>
      <c r="L53" s="210"/>
      <c r="M53" s="232"/>
      <c r="N53" s="209"/>
      <c r="O53" s="212"/>
      <c r="P53" s="212"/>
      <c r="Q53" s="212"/>
      <c r="R53" s="212"/>
      <c r="S53" s="819"/>
    </row>
    <row r="54" spans="1:47" ht="19.899999999999999" customHeight="1">
      <c r="A54" s="1479" t="s">
        <v>39</v>
      </c>
      <c r="B54" s="1480"/>
      <c r="C54" s="1480"/>
      <c r="D54" s="1481"/>
      <c r="E54" s="1481"/>
      <c r="F54" s="1481"/>
      <c r="G54" s="1481"/>
      <c r="H54" s="1481"/>
      <c r="I54" s="1481"/>
      <c r="J54" s="1481"/>
      <c r="K54" s="1481"/>
      <c r="L54" s="1481"/>
      <c r="M54" s="1481"/>
      <c r="N54" s="1481"/>
      <c r="O54" s="1481"/>
      <c r="P54" s="1481"/>
      <c r="Q54" s="1481"/>
      <c r="R54" s="1481"/>
      <c r="S54" s="1482"/>
    </row>
    <row r="55" spans="1:47" ht="93.6" customHeight="1">
      <c r="A55" s="1357"/>
      <c r="B55" s="1523"/>
      <c r="C55" s="1523"/>
      <c r="D55" s="1523"/>
      <c r="E55" s="1523"/>
      <c r="F55" s="1523"/>
      <c r="G55" s="1523"/>
      <c r="H55" s="1523"/>
      <c r="I55" s="1523"/>
      <c r="J55" s="1523"/>
      <c r="K55" s="1523"/>
      <c r="L55" s="1523"/>
      <c r="M55" s="1523"/>
      <c r="N55" s="1523"/>
      <c r="O55" s="1523"/>
      <c r="P55" s="1523"/>
      <c r="Q55" s="1523"/>
      <c r="R55" s="1523"/>
      <c r="S55" s="1524"/>
    </row>
    <row r="56" spans="1:47" ht="24.75" customHeight="1">
      <c r="AU56" s="19"/>
    </row>
    <row r="57" spans="1:47" ht="24.75" customHeight="1">
      <c r="AU57" s="19"/>
    </row>
    <row r="58" spans="1:47" ht="24.75" customHeight="1">
      <c r="AU58" s="19"/>
    </row>
    <row r="59" spans="1:47" ht="24.75" customHeight="1">
      <c r="AU59" s="19"/>
    </row>
    <row r="60" spans="1:47" ht="24.75" customHeight="1">
      <c r="AU60" s="19"/>
    </row>
    <row r="61" spans="1:47" ht="24.75" customHeight="1">
      <c r="AU61" s="19"/>
    </row>
    <row r="62" spans="1:47" ht="24.75" customHeight="1">
      <c r="AU62" s="19"/>
    </row>
    <row r="63" spans="1:47" ht="24.75" customHeight="1">
      <c r="AU63" s="19"/>
    </row>
    <row r="64" spans="1:47" ht="24.75" customHeight="1">
      <c r="AU64" s="19"/>
    </row>
    <row r="65" spans="26:47" ht="24.75" customHeight="1">
      <c r="AU65" s="19"/>
    </row>
    <row r="66" spans="26:47" ht="24.75" customHeight="1">
      <c r="AU66" s="19"/>
    </row>
    <row r="67" spans="26:47" ht="24.75" customHeight="1">
      <c r="AU67" s="19"/>
    </row>
    <row r="68" spans="26:47" ht="24.75" customHeight="1">
      <c r="AU68" s="19"/>
    </row>
    <row r="69" spans="26:47" ht="24.75" customHeight="1">
      <c r="AU69" s="19"/>
    </row>
    <row r="70" spans="26:47" ht="24.75" customHeight="1">
      <c r="AU70" s="19"/>
    </row>
    <row r="71" spans="26:47" ht="24.75" customHeight="1">
      <c r="AU71" s="19"/>
    </row>
    <row r="72" spans="26:47" ht="24.75" customHeight="1">
      <c r="AU72" s="19"/>
    </row>
    <row r="73" spans="26:47" ht="24.75" customHeight="1">
      <c r="AU73" s="19"/>
    </row>
    <row r="74" spans="26:47" ht="24.75" customHeight="1">
      <c r="AU74" s="19"/>
    </row>
    <row r="75" spans="26:47" ht="24.75" customHeight="1">
      <c r="AU75" s="19"/>
    </row>
    <row r="76" spans="26:47" ht="24.75" customHeight="1">
      <c r="AU76" s="19"/>
    </row>
    <row r="77" spans="26:47" ht="24.75" customHeight="1">
      <c r="AU77" s="19"/>
    </row>
    <row r="78" spans="26:47" ht="24.75" customHeight="1">
      <c r="Z78" s="23"/>
      <c r="AA78" s="19"/>
      <c r="AB78" s="1485" t="s">
        <v>48</v>
      </c>
      <c r="AC78" s="1486"/>
      <c r="AD78" s="190">
        <v>1.5</v>
      </c>
      <c r="AE78" s="190">
        <v>2</v>
      </c>
      <c r="AF78" s="191">
        <v>3</v>
      </c>
      <c r="AU78" s="19"/>
    </row>
    <row r="79" spans="26:47" ht="24.75" customHeight="1">
      <c r="Z79" s="19"/>
      <c r="AA79" s="19"/>
      <c r="AB79" s="1485" t="s">
        <v>49</v>
      </c>
      <c r="AC79" s="1486"/>
      <c r="AD79" s="192">
        <v>1.07</v>
      </c>
      <c r="AE79" s="190">
        <v>1.38</v>
      </c>
      <c r="AF79" s="191">
        <v>2.04</v>
      </c>
    </row>
    <row r="80" spans="26:47" ht="24.75" customHeight="1">
      <c r="Z80" s="23"/>
      <c r="AA80" s="19"/>
      <c r="AB80" s="1485" t="s">
        <v>50</v>
      </c>
      <c r="AC80" s="1486"/>
      <c r="AD80" s="190">
        <v>4.03</v>
      </c>
      <c r="AE80" s="190">
        <v>5.17</v>
      </c>
      <c r="AF80" s="191">
        <v>7.67</v>
      </c>
    </row>
    <row r="81" spans="26:32" ht="24.75" customHeight="1">
      <c r="Z81" s="23"/>
      <c r="AA81" s="19"/>
      <c r="AB81" s="1485" t="s">
        <v>51</v>
      </c>
      <c r="AC81" s="1486"/>
      <c r="AD81" s="190">
        <v>2.15</v>
      </c>
      <c r="AE81" s="190">
        <v>2.76</v>
      </c>
      <c r="AF81" s="191">
        <v>4.09</v>
      </c>
    </row>
    <row r="82" spans="26:32" ht="24.75" customHeight="1">
      <c r="Z82" s="43"/>
      <c r="AA82" s="19"/>
      <c r="AB82" s="1485" t="s">
        <v>52</v>
      </c>
      <c r="AC82" s="1486"/>
      <c r="AD82" s="190">
        <v>2.68</v>
      </c>
      <c r="AE82" s="190">
        <v>3.45</v>
      </c>
      <c r="AF82" s="191">
        <v>5.1100000000000003</v>
      </c>
    </row>
    <row r="83" spans="26:32" ht="24.75" customHeight="1">
      <c r="AA83" s="19"/>
      <c r="AB83" s="1485" t="s">
        <v>53</v>
      </c>
      <c r="AC83" s="1486"/>
      <c r="AD83" s="190">
        <v>8.0500000000000007</v>
      </c>
      <c r="AE83" s="192">
        <v>10.3</v>
      </c>
      <c r="AF83" s="193">
        <v>15.3</v>
      </c>
    </row>
    <row r="84" spans="26:32" ht="24.75" customHeight="1">
      <c r="AA84" s="19"/>
      <c r="AB84" s="1483" t="s">
        <v>54</v>
      </c>
      <c r="AC84" s="1484"/>
      <c r="AD84" s="192">
        <v>13.4</v>
      </c>
      <c r="AE84" s="192">
        <v>17.2</v>
      </c>
      <c r="AF84" s="193">
        <v>25.5</v>
      </c>
    </row>
    <row r="85" spans="26:32" ht="24.75" customHeight="1">
      <c r="AA85" s="19"/>
      <c r="AB85" s="1483" t="s">
        <v>55</v>
      </c>
      <c r="AC85" s="1484"/>
      <c r="AD85" s="192">
        <v>20.100000000000001</v>
      </c>
      <c r="AE85" s="192">
        <v>25.8</v>
      </c>
      <c r="AF85" s="193">
        <v>38.4</v>
      </c>
    </row>
    <row r="86" spans="26:32" ht="24.75" customHeight="1">
      <c r="AA86" s="19"/>
      <c r="AB86" s="1483" t="s">
        <v>56</v>
      </c>
      <c r="AC86" s="1484"/>
      <c r="AD86" s="192">
        <v>45.6</v>
      </c>
      <c r="AE86" s="192">
        <v>58.6</v>
      </c>
      <c r="AF86" s="193">
        <v>86.9</v>
      </c>
    </row>
    <row r="87" spans="26:32" ht="24.75" customHeight="1">
      <c r="AA87" s="19"/>
      <c r="AB87" s="1483" t="s">
        <v>57</v>
      </c>
      <c r="AC87" s="1484"/>
      <c r="AD87" s="190" t="s">
        <v>596</v>
      </c>
      <c r="AE87" s="190">
        <v>7.75</v>
      </c>
      <c r="AF87" s="193">
        <v>11.5</v>
      </c>
    </row>
    <row r="88" spans="26:32" ht="24.75" customHeight="1">
      <c r="AA88" s="19"/>
    </row>
    <row r="89" spans="26:32" ht="24.75" customHeight="1">
      <c r="AA89" s="19"/>
    </row>
    <row r="90" spans="26:32" ht="24.75" customHeight="1">
      <c r="AA90" s="19"/>
    </row>
    <row r="91" spans="26:32" ht="24.75" customHeight="1">
      <c r="AA91" s="19"/>
    </row>
    <row r="92" spans="26:32" ht="24.75" customHeight="1">
      <c r="AA92" s="19"/>
    </row>
    <row r="93" spans="26:32" ht="24.75" customHeight="1">
      <c r="AA93" s="19"/>
    </row>
    <row r="94" spans="26:32" ht="24.75" customHeight="1">
      <c r="AA94" s="19"/>
    </row>
    <row r="95" spans="26:32" ht="24.75" customHeight="1">
      <c r="AA95" s="19"/>
    </row>
    <row r="96" spans="26:32" ht="24.75" customHeight="1">
      <c r="AA96" s="19"/>
    </row>
    <row r="97" spans="27:27" ht="24.75" customHeight="1">
      <c r="AA97" s="19"/>
    </row>
    <row r="98" spans="27:27" ht="24.75" customHeight="1">
      <c r="AA98" s="19"/>
    </row>
    <row r="99" spans="27:27" ht="24.75" customHeight="1">
      <c r="AA99" s="19"/>
    </row>
    <row r="100" spans="27:27" ht="24.75" customHeight="1">
      <c r="AA100" s="19"/>
    </row>
    <row r="101" spans="27:27" ht="24.75" customHeight="1">
      <c r="AA101" s="19"/>
    </row>
    <row r="102" spans="27:27" ht="24.75" customHeight="1">
      <c r="AA102" s="19"/>
    </row>
    <row r="103" spans="27:27" ht="24.75" customHeight="1">
      <c r="AA103" s="19"/>
    </row>
    <row r="104" spans="27:27" ht="24.75" customHeight="1">
      <c r="AA104" s="19"/>
    </row>
    <row r="105" spans="27:27" ht="24.75" customHeight="1">
      <c r="AA105" s="19"/>
    </row>
    <row r="106" spans="27:27" ht="24.75" customHeight="1">
      <c r="AA106" s="19"/>
    </row>
    <row r="107" spans="27:27" ht="24.75" customHeight="1">
      <c r="AA107" s="19"/>
    </row>
    <row r="108" spans="27:27" ht="24.75" customHeight="1">
      <c r="AA108" s="19"/>
    </row>
    <row r="109" spans="27:27" ht="24.75" customHeight="1">
      <c r="AA109" s="19"/>
    </row>
    <row r="110" spans="27:27" ht="24.75" customHeight="1">
      <c r="AA110" s="19"/>
    </row>
    <row r="111" spans="27:27" ht="24.75" customHeight="1">
      <c r="AA111" s="19"/>
    </row>
    <row r="112" spans="27:27" ht="24.75" customHeight="1">
      <c r="AA112" s="19"/>
    </row>
    <row r="113" spans="27:27" ht="24.75" customHeight="1">
      <c r="AA113" s="19"/>
    </row>
    <row r="114" spans="27:27" ht="24.75" customHeight="1">
      <c r="AA114" s="19"/>
    </row>
    <row r="115" spans="27:27" ht="24.75" customHeight="1">
      <c r="AA115" s="19"/>
    </row>
    <row r="116" spans="27:27" ht="24.75" customHeight="1">
      <c r="AA116" s="19"/>
    </row>
    <row r="117" spans="27:27" ht="24.75" customHeight="1">
      <c r="AA117" s="19"/>
    </row>
    <row r="118" spans="27:27" ht="24.75" customHeight="1">
      <c r="AA118" s="19"/>
    </row>
    <row r="119" spans="27:27" ht="24.75" customHeight="1">
      <c r="AA119" s="19"/>
    </row>
    <row r="120" spans="27:27" ht="24.75" customHeight="1">
      <c r="AA120" s="19"/>
    </row>
    <row r="121" spans="27:27" ht="24.75" customHeight="1">
      <c r="AA121" s="19"/>
    </row>
    <row r="122" spans="27:27" ht="24.75" customHeight="1">
      <c r="AA122" s="19"/>
    </row>
    <row r="123" spans="27:27" ht="24.75" customHeight="1">
      <c r="AA123" s="19"/>
    </row>
    <row r="124" spans="27:27" ht="24.75" customHeight="1">
      <c r="AA124" s="19"/>
    </row>
    <row r="125" spans="27:27" ht="24.75" customHeight="1">
      <c r="AA125" s="19"/>
    </row>
    <row r="126" spans="27:27" ht="24.75" customHeight="1">
      <c r="AA126" s="19"/>
    </row>
    <row r="127" spans="27:27" ht="24.75" customHeight="1">
      <c r="AA127" s="19"/>
    </row>
    <row r="128" spans="27:27" ht="24.75" customHeight="1">
      <c r="AA128" s="19"/>
    </row>
    <row r="129" spans="27:27" ht="24.75" customHeight="1">
      <c r="AA129" s="19"/>
    </row>
  </sheetData>
  <sheetProtection sheet="1"/>
  <customSheetViews>
    <customSheetView guid="{D1431318-1DB8-4C45-813B-5A8065DFC797}" showPageBreaks="1" zeroValues="0" printArea="1" view="pageBreakPreview">
      <selection activeCell="X57" sqref="X57"/>
      <pageMargins left="0.45" right="0.45" top="0.5" bottom="0.5" header="0.3" footer="0.3"/>
      <printOptions horizontalCentered="1"/>
      <pageSetup scale="75" orientation="portrait" blackAndWhite="1" r:id="rId1"/>
    </customSheetView>
  </customSheetViews>
  <mergeCells count="57">
    <mergeCell ref="A55:S55"/>
    <mergeCell ref="AB84:AC84"/>
    <mergeCell ref="AB85:AC85"/>
    <mergeCell ref="AB86:AC86"/>
    <mergeCell ref="AB87:AC87"/>
    <mergeCell ref="AB78:AC78"/>
    <mergeCell ref="AB79:AC79"/>
    <mergeCell ref="AB80:AC80"/>
    <mergeCell ref="AB81:AC81"/>
    <mergeCell ref="AB82:AC82"/>
    <mergeCell ref="AB83:AC83"/>
    <mergeCell ref="A51:S51"/>
    <mergeCell ref="A52:G52"/>
    <mergeCell ref="H52:I52"/>
    <mergeCell ref="O52:P52"/>
    <mergeCell ref="A54:S54"/>
    <mergeCell ref="B46:S47"/>
    <mergeCell ref="B49:C49"/>
    <mergeCell ref="F49:G49"/>
    <mergeCell ref="J49:K49"/>
    <mergeCell ref="M49:N49"/>
    <mergeCell ref="P49:Q49"/>
    <mergeCell ref="B39:C39"/>
    <mergeCell ref="H39:I39"/>
    <mergeCell ref="B41:S41"/>
    <mergeCell ref="B42:E42"/>
    <mergeCell ref="B43:C43"/>
    <mergeCell ref="H43:I43"/>
    <mergeCell ref="N43:O43"/>
    <mergeCell ref="E34:F34"/>
    <mergeCell ref="G34:J34"/>
    <mergeCell ref="B36:L38"/>
    <mergeCell ref="K27:L27"/>
    <mergeCell ref="B28:E28"/>
    <mergeCell ref="F28:G28"/>
    <mergeCell ref="B30:E30"/>
    <mergeCell ref="F30:G30"/>
    <mergeCell ref="B19:E19"/>
    <mergeCell ref="F19:G19"/>
    <mergeCell ref="H19:N19"/>
    <mergeCell ref="B32:J32"/>
    <mergeCell ref="K32:L32"/>
    <mergeCell ref="A12:S12"/>
    <mergeCell ref="B14:E14"/>
    <mergeCell ref="F14:G14"/>
    <mergeCell ref="B15:H15"/>
    <mergeCell ref="B17:E17"/>
    <mergeCell ref="F17:G17"/>
    <mergeCell ref="K10:P10"/>
    <mergeCell ref="F1:N1"/>
    <mergeCell ref="B4:H4"/>
    <mergeCell ref="K6:L6"/>
    <mergeCell ref="B8:H8"/>
    <mergeCell ref="K8:L8"/>
    <mergeCell ref="I2:J2"/>
    <mergeCell ref="K2:L2"/>
    <mergeCell ref="I4:L4"/>
  </mergeCells>
  <dataValidations count="5">
    <dataValidation type="decimal" allowBlank="1" showInputMessage="1" showErrorMessage="1" sqref="K6" xr:uid="{00000000-0002-0000-0F00-000000000000}">
      <formula1>10</formula1>
      <formula2>45</formula2>
    </dataValidation>
    <dataValidation type="list" allowBlank="1" showInputMessage="1" showErrorMessage="1" sqref="F28:G28" xr:uid="{00000000-0002-0000-0F00-000001000000}">
      <formula1>PipeDia</formula1>
    </dataValidation>
    <dataValidation type="list" allowBlank="1" showInputMessage="1" showErrorMessage="1" sqref="F17:G17" xr:uid="{00000000-0002-0000-0F00-000002000000}">
      <formula1>DistHeadLoss</formula1>
    </dataValidation>
    <dataValidation type="list" allowBlank="1" showInputMessage="1" sqref="K10:P10" xr:uid="{00000000-0002-0000-0F00-000003000000}">
      <formula1>PumpType</formula1>
    </dataValidation>
    <dataValidation type="list" allowBlank="1" showInputMessage="1" showErrorMessage="1" sqref="I4:L4" xr:uid="{00000000-0002-0000-0F00-000004000000}">
      <formula1>Gravity_Or_Pressure</formula1>
    </dataValidation>
  </dataValidations>
  <printOptions horizontalCentered="1"/>
  <pageMargins left="0.45" right="0.45" top="0.5" bottom="0.5" header="0.3" footer="0.3"/>
  <pageSetup scale="75" orientation="portrait" blackAndWhite="1"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6600"/>
    <pageSetUpPr fitToPage="1"/>
  </sheetPr>
  <dimension ref="A1:AU90"/>
  <sheetViews>
    <sheetView view="pageBreakPreview" topLeftCell="B1" zoomScaleNormal="100" zoomScaleSheetLayoutView="100" workbookViewId="0">
      <selection activeCell="K28" sqref="K28:L28"/>
    </sheetView>
  </sheetViews>
  <sheetFormatPr defaultColWidth="6.7109375" defaultRowHeight="35.1" customHeight="1"/>
  <cols>
    <col min="1" max="1" width="3.7109375" style="8" customWidth="1"/>
    <col min="2" max="16" width="7.28515625" style="8" customWidth="1"/>
    <col min="17" max="20" width="7.28515625" style="4" customWidth="1"/>
    <col min="21" max="34" width="6.7109375" style="8" customWidth="1"/>
    <col min="35" max="16384" width="6.7109375" style="8"/>
  </cols>
  <sheetData>
    <row r="1" spans="1:47" ht="69.599999999999994" customHeight="1">
      <c r="B1" s="216"/>
      <c r="C1" s="216"/>
      <c r="D1" s="216"/>
      <c r="F1" s="1499" t="s">
        <v>1309</v>
      </c>
      <c r="G1" s="1499"/>
      <c r="H1" s="1499"/>
      <c r="I1" s="1499"/>
      <c r="J1" s="1499"/>
      <c r="K1" s="1499"/>
      <c r="L1" s="1499"/>
      <c r="M1" s="1499"/>
      <c r="N1" s="844"/>
      <c r="O1" s="844"/>
      <c r="P1" s="822"/>
      <c r="Q1" s="822"/>
      <c r="R1" s="822"/>
      <c r="S1" s="822"/>
      <c r="T1" s="822"/>
      <c r="V1" s="18"/>
      <c r="X1" s="18"/>
      <c r="Y1" s="18"/>
      <c r="Z1" s="18"/>
      <c r="AA1" s="18"/>
      <c r="AB1" s="18"/>
      <c r="AC1" s="18"/>
      <c r="AD1" s="48"/>
      <c r="AE1" s="48"/>
      <c r="AF1" s="20"/>
      <c r="AG1" s="20"/>
      <c r="AH1" s="18"/>
      <c r="AI1" s="18"/>
      <c r="AJ1" s="18"/>
      <c r="AK1" s="18"/>
      <c r="AL1" s="18"/>
      <c r="AM1" s="18"/>
      <c r="AN1" s="18"/>
      <c r="AO1" s="22"/>
    </row>
    <row r="2" spans="1:47" ht="24" customHeight="1">
      <c r="A2" s="773"/>
      <c r="B2" s="1134" t="s">
        <v>847</v>
      </c>
      <c r="C2" s="1134"/>
      <c r="D2" s="1134"/>
      <c r="E2" s="1134"/>
      <c r="F2" s="1134"/>
      <c r="G2" s="1134"/>
      <c r="H2" s="1134"/>
      <c r="I2" s="1134"/>
      <c r="J2" s="1134"/>
      <c r="K2" s="1134"/>
      <c r="L2" s="1198" t="s">
        <v>832</v>
      </c>
      <c r="M2" s="1198"/>
      <c r="N2" s="1496" t="str">
        <f>IF(ISBLANK('Design Summary'!Q3)," ",'Design Summary'!Q3)</f>
        <v xml:space="preserve"> </v>
      </c>
      <c r="O2" s="1496"/>
      <c r="P2" s="387"/>
      <c r="Q2" s="387"/>
      <c r="R2" s="387"/>
      <c r="S2" s="387"/>
      <c r="T2" s="404" t="str">
        <f>'Drop-Down Lists'!J40</f>
        <v>v 04.20.2016</v>
      </c>
      <c r="V2" s="841"/>
      <c r="W2" s="18" t="s">
        <v>876</v>
      </c>
      <c r="AH2" s="18"/>
      <c r="AI2" s="18"/>
      <c r="AJ2" s="18"/>
      <c r="AK2" s="18"/>
      <c r="AL2" s="18"/>
      <c r="AM2" s="18"/>
      <c r="AN2" s="18"/>
      <c r="AO2" s="18"/>
      <c r="AT2" s="19"/>
      <c r="AU2" s="19"/>
    </row>
    <row r="3" spans="1:47" ht="6" customHeight="1">
      <c r="A3" s="200"/>
      <c r="B3" s="135"/>
      <c r="C3" s="135"/>
      <c r="D3" s="135"/>
      <c r="E3" s="135"/>
      <c r="F3" s="135"/>
      <c r="G3" s="135"/>
      <c r="H3" s="135"/>
      <c r="I3" s="135" t="s">
        <v>721</v>
      </c>
      <c r="J3" s="135"/>
      <c r="K3" s="135"/>
      <c r="L3" s="135"/>
      <c r="M3" s="135"/>
      <c r="N3" s="135"/>
      <c r="O3" s="135"/>
      <c r="P3" s="135"/>
      <c r="Q3" s="135"/>
      <c r="R3" s="135"/>
      <c r="S3" s="135"/>
      <c r="T3" s="774"/>
      <c r="AL3" s="4"/>
      <c r="AM3" s="4"/>
      <c r="AN3" s="4"/>
      <c r="AO3" s="4"/>
      <c r="AT3" s="19"/>
      <c r="AU3" s="19"/>
    </row>
    <row r="4" spans="1:47" ht="24" customHeight="1">
      <c r="A4" s="124" t="s">
        <v>93</v>
      </c>
      <c r="B4" s="476" t="s">
        <v>154</v>
      </c>
      <c r="C4" s="491" t="s">
        <v>679</v>
      </c>
      <c r="D4" s="450"/>
      <c r="E4" s="450"/>
      <c r="F4" s="450"/>
      <c r="G4" s="450"/>
      <c r="I4" s="986" t="str">
        <f>IF(ISBLANK('Design Summary'!D9),"",'Design Summary'!D9)</f>
        <v/>
      </c>
      <c r="J4" s="1268"/>
      <c r="K4" s="450" t="s">
        <v>317</v>
      </c>
      <c r="L4" s="18"/>
      <c r="M4" s="18"/>
      <c r="N4" s="18"/>
      <c r="O4" s="18"/>
      <c r="P4" s="18"/>
      <c r="Q4" s="18"/>
      <c r="R4" s="18"/>
      <c r="S4" s="18"/>
      <c r="T4" s="775"/>
      <c r="V4" s="4" t="s">
        <v>154</v>
      </c>
      <c r="W4" s="8" t="s">
        <v>155</v>
      </c>
      <c r="AL4" s="4"/>
      <c r="AM4" s="4"/>
      <c r="AN4" s="4"/>
      <c r="AO4" s="4"/>
      <c r="AT4" s="19"/>
      <c r="AU4" s="19"/>
    </row>
    <row r="5" spans="1:47" ht="6" customHeight="1">
      <c r="A5" s="199"/>
      <c r="B5" s="18"/>
      <c r="C5" s="18"/>
      <c r="D5" s="18"/>
      <c r="E5" s="18"/>
      <c r="F5" s="18"/>
      <c r="G5" s="18"/>
      <c r="H5" s="18"/>
      <c r="L5" s="18"/>
      <c r="M5" s="18"/>
      <c r="N5" s="18"/>
      <c r="O5" s="18"/>
      <c r="P5" s="18"/>
      <c r="Q5" s="18"/>
      <c r="R5" s="18"/>
      <c r="S5" s="18"/>
      <c r="T5" s="775"/>
      <c r="AL5" s="4"/>
      <c r="AM5" s="4"/>
      <c r="AN5" s="4"/>
      <c r="AO5" s="4"/>
      <c r="AT5" s="19"/>
      <c r="AU5" s="19"/>
    </row>
    <row r="6" spans="1:47" ht="24" customHeight="1">
      <c r="A6" s="199"/>
      <c r="B6" s="4" t="s">
        <v>527</v>
      </c>
      <c r="C6" s="8" t="s">
        <v>1166</v>
      </c>
      <c r="I6" s="1148"/>
      <c r="J6" s="1149"/>
      <c r="K6" s="8" t="s">
        <v>633</v>
      </c>
      <c r="L6" s="8" t="s">
        <v>1167</v>
      </c>
      <c r="Q6" s="8"/>
      <c r="R6" s="1148"/>
      <c r="S6" s="1149"/>
      <c r="T6" s="628" t="s">
        <v>633</v>
      </c>
      <c r="W6" s="1497"/>
      <c r="X6" s="1498"/>
      <c r="Y6" s="8" t="s">
        <v>97</v>
      </c>
      <c r="Z6" s="76" t="s">
        <v>106</v>
      </c>
      <c r="AA6" s="1497"/>
      <c r="AB6" s="1498"/>
      <c r="AC6" s="4" t="s">
        <v>97</v>
      </c>
      <c r="AD6" s="76" t="s">
        <v>107</v>
      </c>
      <c r="AE6" s="967" t="str">
        <f>IF(ISBLANK(W6), " ", (W6*AA6))</f>
        <v xml:space="preserve"> </v>
      </c>
      <c r="AF6" s="968"/>
      <c r="AG6" s="8" t="s">
        <v>31</v>
      </c>
      <c r="AL6" s="4"/>
      <c r="AM6" s="4"/>
      <c r="AN6" s="4"/>
      <c r="AO6" s="4"/>
      <c r="AT6" s="19"/>
      <c r="AU6" s="19"/>
    </row>
    <row r="7" spans="1:47" ht="6" customHeight="1">
      <c r="A7" s="199"/>
      <c r="B7" s="4"/>
      <c r="I7" s="831"/>
      <c r="J7" s="831"/>
      <c r="Q7" s="8"/>
      <c r="R7" s="831"/>
      <c r="S7" s="831"/>
      <c r="T7" s="55"/>
      <c r="AL7" s="4"/>
      <c r="AM7" s="4"/>
      <c r="AN7" s="4"/>
      <c r="AO7" s="4"/>
      <c r="AT7" s="19"/>
      <c r="AU7" s="19"/>
    </row>
    <row r="8" spans="1:47" ht="6" customHeight="1">
      <c r="A8" s="200"/>
      <c r="B8" s="135"/>
      <c r="C8" s="135"/>
      <c r="D8" s="135"/>
      <c r="E8" s="135"/>
      <c r="F8" s="135"/>
      <c r="G8" s="135"/>
      <c r="H8" s="135"/>
      <c r="I8" s="57"/>
      <c r="J8" s="57"/>
      <c r="K8" s="57"/>
      <c r="L8" s="135"/>
      <c r="M8" s="135"/>
      <c r="N8" s="135"/>
      <c r="O8" s="135"/>
      <c r="P8" s="135"/>
      <c r="Q8" s="135"/>
      <c r="R8" s="135"/>
      <c r="S8" s="135"/>
      <c r="T8" s="774"/>
      <c r="AL8" s="4"/>
      <c r="AM8" s="4"/>
      <c r="AN8" s="4"/>
      <c r="AO8" s="4"/>
      <c r="AT8" s="19"/>
      <c r="AU8" s="19"/>
    </row>
    <row r="9" spans="1:47" ht="24" customHeight="1">
      <c r="A9" s="124" t="s">
        <v>94</v>
      </c>
      <c r="B9" s="4" t="s">
        <v>154</v>
      </c>
      <c r="C9" s="8" t="s">
        <v>809</v>
      </c>
      <c r="D9" s="37"/>
      <c r="E9" s="4"/>
      <c r="F9" s="1148"/>
      <c r="G9" s="1505"/>
      <c r="H9" s="1505"/>
      <c r="I9" s="1505"/>
      <c r="J9" s="1149"/>
      <c r="K9" s="4" t="s">
        <v>527</v>
      </c>
      <c r="L9" s="8" t="s">
        <v>810</v>
      </c>
      <c r="M9" s="37"/>
      <c r="N9" s="1060"/>
      <c r="O9" s="1061"/>
      <c r="P9" s="1061"/>
      <c r="Q9" s="1061"/>
      <c r="R9" s="1062"/>
      <c r="T9" s="125"/>
      <c r="V9" s="4" t="s">
        <v>527</v>
      </c>
      <c r="W9" s="8" t="s">
        <v>560</v>
      </c>
      <c r="AK9" s="406"/>
      <c r="AL9" s="406"/>
      <c r="AM9" s="406"/>
      <c r="AN9" s="406"/>
      <c r="AO9" s="4"/>
      <c r="AT9" s="19"/>
      <c r="AU9" s="19"/>
    </row>
    <row r="10" spans="1:47" ht="6" customHeight="1">
      <c r="A10" s="52"/>
      <c r="B10" s="4"/>
      <c r="D10" s="37"/>
      <c r="E10" s="4"/>
      <c r="F10" s="43"/>
      <c r="G10" s="43"/>
      <c r="H10" s="70"/>
      <c r="J10" s="4"/>
      <c r="K10" s="43"/>
      <c r="L10" s="43"/>
      <c r="M10" s="4"/>
      <c r="N10" s="514"/>
      <c r="O10" s="514"/>
      <c r="P10" s="238"/>
      <c r="Q10" s="238"/>
      <c r="R10" s="238"/>
      <c r="S10" s="238"/>
      <c r="T10" s="840"/>
      <c r="AK10" s="406"/>
      <c r="AL10" s="406"/>
      <c r="AM10" s="406"/>
      <c r="AN10" s="406"/>
      <c r="AO10" s="4"/>
      <c r="AT10" s="19"/>
      <c r="AU10" s="19"/>
    </row>
    <row r="11" spans="1:47" ht="24" customHeight="1">
      <c r="A11" s="52"/>
      <c r="B11" s="4" t="s">
        <v>156</v>
      </c>
      <c r="C11" s="8" t="s">
        <v>877</v>
      </c>
      <c r="I11" s="1148"/>
      <c r="J11" s="1376"/>
      <c r="K11" s="8" t="s">
        <v>101</v>
      </c>
      <c r="N11" s="1506" t="s">
        <v>879</v>
      </c>
      <c r="O11" s="1506"/>
      <c r="P11" s="1506"/>
      <c r="Q11" s="1506"/>
      <c r="R11" s="1506"/>
      <c r="S11" s="1506"/>
      <c r="T11" s="1507"/>
      <c r="X11" s="76" t="s">
        <v>294</v>
      </c>
      <c r="Z11" s="1497"/>
      <c r="AA11" s="1498"/>
      <c r="AB11" s="219">
        <v>2</v>
      </c>
      <c r="AC11" s="8" t="s">
        <v>97</v>
      </c>
      <c r="AD11" s="76" t="s">
        <v>107</v>
      </c>
      <c r="AE11" s="967" t="str">
        <f>IF(ISBLANK(Z11)," ",PI()*Z11*Z11)</f>
        <v xml:space="preserve"> </v>
      </c>
      <c r="AF11" s="968"/>
      <c r="AG11" s="8" t="s">
        <v>31</v>
      </c>
      <c r="AT11" s="19"/>
      <c r="AU11" s="19"/>
    </row>
    <row r="12" spans="1:47" ht="6" customHeight="1">
      <c r="A12" s="52"/>
      <c r="B12" s="4"/>
      <c r="I12" s="142"/>
      <c r="J12" s="142"/>
      <c r="K12" s="142"/>
      <c r="N12" s="1506"/>
      <c r="O12" s="1506"/>
      <c r="P12" s="1506"/>
      <c r="Q12" s="1506"/>
      <c r="R12" s="1506"/>
      <c r="S12" s="1506"/>
      <c r="T12" s="1507"/>
      <c r="V12" s="841"/>
      <c r="AK12" s="4"/>
      <c r="AL12" s="4"/>
      <c r="AM12" s="4"/>
      <c r="AN12" s="4"/>
      <c r="AO12" s="4"/>
      <c r="AT12" s="19"/>
    </row>
    <row r="13" spans="1:47" ht="24" customHeight="1">
      <c r="A13" s="52"/>
      <c r="B13" s="4" t="s">
        <v>476</v>
      </c>
      <c r="C13" s="8" t="s">
        <v>853</v>
      </c>
      <c r="H13" s="142"/>
      <c r="I13" s="1393"/>
      <c r="J13" s="1472"/>
      <c r="K13" s="8" t="s">
        <v>591</v>
      </c>
      <c r="N13" s="1506"/>
      <c r="O13" s="1506"/>
      <c r="P13" s="1506"/>
      <c r="Q13" s="1506"/>
      <c r="R13" s="1506"/>
      <c r="S13" s="1506"/>
      <c r="T13" s="1507"/>
      <c r="V13" s="4" t="s">
        <v>156</v>
      </c>
      <c r="W13" s="1056" t="s">
        <v>1169</v>
      </c>
      <c r="X13" s="1056"/>
      <c r="Y13" s="1056"/>
      <c r="Z13" s="1056"/>
      <c r="AA13" s="1056"/>
      <c r="AB13" s="1056"/>
      <c r="AC13" s="1056"/>
      <c r="AD13" s="1056"/>
      <c r="AE13" s="1056"/>
      <c r="AF13" s="1056"/>
      <c r="AG13" s="1056"/>
      <c r="AH13" s="1056"/>
      <c r="AI13" s="1056"/>
      <c r="AJ13" s="1056"/>
      <c r="AK13" s="1056"/>
      <c r="AN13" s="22"/>
      <c r="AT13" s="19"/>
    </row>
    <row r="14" spans="1:47" ht="6" customHeight="1">
      <c r="A14" s="54"/>
      <c r="N14" s="1506"/>
      <c r="O14" s="1506"/>
      <c r="P14" s="1506"/>
      <c r="Q14" s="1506"/>
      <c r="R14" s="1506"/>
      <c r="S14" s="1506"/>
      <c r="T14" s="1507"/>
      <c r="V14" s="4"/>
      <c r="W14" s="1056"/>
      <c r="X14" s="1056"/>
      <c r="Y14" s="1056"/>
      <c r="Z14" s="1056"/>
      <c r="AA14" s="1056"/>
      <c r="AB14" s="1056"/>
      <c r="AC14" s="1056"/>
      <c r="AD14" s="1056"/>
      <c r="AE14" s="1056"/>
      <c r="AF14" s="1056"/>
      <c r="AG14" s="1056"/>
      <c r="AH14" s="1056"/>
      <c r="AI14" s="1056"/>
      <c r="AJ14" s="1056"/>
      <c r="AK14" s="1056"/>
      <c r="AL14" s="4"/>
      <c r="AM14" s="4"/>
      <c r="AN14" s="4"/>
      <c r="AO14" s="4"/>
      <c r="AT14" s="19"/>
    </row>
    <row r="15" spans="1:47" ht="24" customHeight="1">
      <c r="A15" s="52"/>
      <c r="B15" s="4" t="s">
        <v>477</v>
      </c>
      <c r="C15" s="8" t="s">
        <v>854</v>
      </c>
      <c r="H15" s="142"/>
      <c r="I15" s="1393"/>
      <c r="J15" s="1472"/>
      <c r="K15" s="8" t="s">
        <v>538</v>
      </c>
      <c r="N15" s="1506"/>
      <c r="O15" s="1506"/>
      <c r="P15" s="1506"/>
      <c r="Q15" s="1506"/>
      <c r="R15" s="1506"/>
      <c r="S15" s="1506"/>
      <c r="T15" s="1507"/>
      <c r="V15" s="4"/>
      <c r="W15" s="1497"/>
      <c r="X15" s="1498"/>
      <c r="Y15" s="4" t="s">
        <v>31</v>
      </c>
      <c r="Z15" s="76" t="s">
        <v>25</v>
      </c>
      <c r="AA15" s="3" t="s">
        <v>1168</v>
      </c>
      <c r="AB15" s="75"/>
      <c r="AC15" s="59"/>
      <c r="AD15" s="59"/>
      <c r="AE15" s="76" t="s">
        <v>107</v>
      </c>
      <c r="AF15" s="967" t="str">
        <f>IF(ISBLANK(W15)," ",W15*7.5/12)</f>
        <v xml:space="preserve"> </v>
      </c>
      <c r="AG15" s="968"/>
      <c r="AH15" s="8" t="s">
        <v>591</v>
      </c>
      <c r="AK15" s="4"/>
      <c r="AL15" s="4"/>
      <c r="AM15" s="4"/>
      <c r="AN15" s="4"/>
      <c r="AO15" s="4"/>
      <c r="AT15" s="19"/>
    </row>
    <row r="16" spans="1:47" ht="6" customHeight="1">
      <c r="A16" s="776"/>
      <c r="B16" s="79"/>
      <c r="C16" s="79"/>
      <c r="D16" s="79"/>
      <c r="E16" s="79"/>
      <c r="F16" s="79"/>
      <c r="G16" s="79"/>
      <c r="H16" s="79"/>
      <c r="I16" s="79"/>
      <c r="J16" s="79"/>
      <c r="K16" s="79"/>
      <c r="L16" s="79"/>
      <c r="M16" s="79"/>
      <c r="N16" s="79"/>
      <c r="O16" s="79"/>
      <c r="P16" s="79"/>
      <c r="Q16" s="51"/>
      <c r="R16" s="51"/>
      <c r="S16" s="51"/>
      <c r="T16" s="605"/>
      <c r="V16" s="4"/>
      <c r="W16" s="4"/>
      <c r="AT16" s="19"/>
    </row>
    <row r="17" spans="1:46" ht="24" customHeight="1">
      <c r="A17" s="1504" t="s">
        <v>848</v>
      </c>
      <c r="B17" s="1134"/>
      <c r="C17" s="1134"/>
      <c r="D17" s="1134"/>
      <c r="E17" s="1134"/>
      <c r="F17" s="1134"/>
      <c r="G17" s="1134"/>
      <c r="H17" s="1134"/>
      <c r="I17" s="1134"/>
      <c r="J17" s="1134"/>
      <c r="K17" s="1134"/>
      <c r="L17" s="1134"/>
      <c r="M17" s="1134"/>
      <c r="N17" s="1134"/>
      <c r="O17" s="1134"/>
      <c r="P17" s="1134"/>
      <c r="Q17" s="1134"/>
      <c r="R17" s="1134"/>
      <c r="S17" s="1134"/>
      <c r="T17" s="1135"/>
      <c r="V17" s="4" t="s">
        <v>476</v>
      </c>
      <c r="W17" s="8" t="s">
        <v>507</v>
      </c>
      <c r="AA17" s="43"/>
      <c r="AB17" s="43"/>
      <c r="AC17" s="70"/>
      <c r="AE17" s="4"/>
      <c r="AF17" s="43"/>
      <c r="AG17" s="43"/>
      <c r="AH17" s="4"/>
      <c r="AL17" s="4"/>
      <c r="AM17" s="4"/>
      <c r="AN17" s="4"/>
      <c r="AO17" s="4"/>
      <c r="AT17" s="19"/>
    </row>
    <row r="18" spans="1:46" ht="18" customHeight="1">
      <c r="A18" s="71">
        <v>3</v>
      </c>
      <c r="B18" s="1056" t="s">
        <v>278</v>
      </c>
      <c r="C18" s="1056"/>
      <c r="D18" s="1056"/>
      <c r="E18" s="1056"/>
      <c r="F18" s="1056"/>
      <c r="G18" s="1056"/>
      <c r="H18" s="1056"/>
      <c r="I18" s="1056"/>
      <c r="J18" s="1056"/>
      <c r="K18" s="1056"/>
      <c r="L18" s="1056"/>
      <c r="M18" s="1056"/>
      <c r="N18" s="1056"/>
      <c r="O18" s="1056"/>
      <c r="P18" s="1056"/>
      <c r="Q18" s="1056"/>
      <c r="R18" s="1056"/>
      <c r="S18" s="1056"/>
      <c r="T18" s="55"/>
      <c r="V18" s="9"/>
      <c r="W18" s="7" t="s">
        <v>508</v>
      </c>
      <c r="AF18" s="1512"/>
      <c r="AG18" s="1513"/>
      <c r="AH18" s="8" t="s">
        <v>99</v>
      </c>
      <c r="AT18" s="19"/>
    </row>
    <row r="19" spans="1:46" ht="18" customHeight="1">
      <c r="A19" s="52"/>
      <c r="B19" s="1056"/>
      <c r="C19" s="1056"/>
      <c r="D19" s="1056"/>
      <c r="E19" s="1056"/>
      <c r="F19" s="1056"/>
      <c r="G19" s="1056"/>
      <c r="H19" s="1056"/>
      <c r="I19" s="1056"/>
      <c r="J19" s="1056"/>
      <c r="K19" s="1056"/>
      <c r="L19" s="1056"/>
      <c r="M19" s="1056"/>
      <c r="N19" s="1056"/>
      <c r="O19" s="1056"/>
      <c r="P19" s="1056"/>
      <c r="Q19" s="1056"/>
      <c r="R19" s="1056"/>
      <c r="S19" s="1056"/>
      <c r="T19" s="55"/>
      <c r="W19" s="7" t="s">
        <v>509</v>
      </c>
      <c r="AD19" s="4"/>
      <c r="AE19" s="4"/>
      <c r="AH19" s="3"/>
      <c r="AI19" s="3"/>
      <c r="AJ19" s="3"/>
      <c r="AT19" s="19"/>
    </row>
    <row r="20" spans="1:46" ht="18" customHeight="1">
      <c r="A20" s="52"/>
      <c r="B20" s="8" t="s">
        <v>878</v>
      </c>
      <c r="Q20" s="8"/>
      <c r="R20" s="8"/>
      <c r="S20" s="8"/>
      <c r="T20" s="55"/>
      <c r="W20" s="998" t="str">
        <f>IF(ISBLANK(AF18)," ",(AF18))</f>
        <v xml:space="preserve"> </v>
      </c>
      <c r="X20" s="999"/>
      <c r="Y20" s="4" t="s">
        <v>99</v>
      </c>
      <c r="Z20" s="76" t="s">
        <v>106</v>
      </c>
      <c r="AA20" s="967">
        <f>IF(ISBLANK(AF15),"",MAX(I13,AF15))</f>
        <v>0</v>
      </c>
      <c r="AB20" s="968"/>
      <c r="AC20" s="8" t="s">
        <v>1170</v>
      </c>
      <c r="AF20" s="967" t="str">
        <f>IF(ISBLANK(AF18)," ",(W20*AA20))</f>
        <v xml:space="preserve"> </v>
      </c>
      <c r="AG20" s="968"/>
      <c r="AH20" s="8" t="s">
        <v>101</v>
      </c>
      <c r="AT20" s="19"/>
    </row>
    <row r="21" spans="1:46" ht="24" customHeight="1">
      <c r="A21" s="54"/>
      <c r="B21" s="22" t="s">
        <v>314</v>
      </c>
      <c r="C21" s="1060"/>
      <c r="D21" s="1062"/>
      <c r="E21" s="76" t="s">
        <v>561</v>
      </c>
      <c r="F21" s="8" t="s">
        <v>592</v>
      </c>
      <c r="H21" s="967" t="str">
        <f>IF(ISBLANK(C21), " ", MAX(I13,AF15))</f>
        <v xml:space="preserve"> </v>
      </c>
      <c r="I21" s="968"/>
      <c r="J21" s="8" t="s">
        <v>157</v>
      </c>
      <c r="M21" s="76" t="s">
        <v>107</v>
      </c>
      <c r="N21" s="961" t="str">
        <f>IF(ISBLANK(C21)," ",((C21+2)*H21))</f>
        <v xml:space="preserve"> </v>
      </c>
      <c r="O21" s="962"/>
      <c r="P21" s="8" t="s">
        <v>101</v>
      </c>
      <c r="Q21" s="8"/>
      <c r="R21" s="8"/>
      <c r="S21" s="8"/>
      <c r="T21" s="55"/>
      <c r="V21" s="9"/>
      <c r="AT21" s="19"/>
    </row>
    <row r="22" spans="1:46" ht="18" customHeight="1">
      <c r="A22" s="71">
        <v>4</v>
      </c>
      <c r="B22" s="1056" t="s">
        <v>1153</v>
      </c>
      <c r="C22" s="1056"/>
      <c r="D22" s="1056"/>
      <c r="E22" s="1056"/>
      <c r="F22" s="1056"/>
      <c r="G22" s="1056"/>
      <c r="H22" s="1056"/>
      <c r="I22" s="1056"/>
      <c r="J22" s="1056"/>
      <c r="K22" s="1056"/>
      <c r="L22" s="1056"/>
      <c r="M22" s="1056"/>
      <c r="T22" s="125"/>
      <c r="V22" s="9"/>
      <c r="AT22" s="19"/>
    </row>
    <row r="23" spans="1:46" ht="24" customHeight="1">
      <c r="A23" s="52"/>
      <c r="B23" s="7" t="s">
        <v>298</v>
      </c>
      <c r="C23" s="246"/>
      <c r="D23" s="246"/>
      <c r="E23" s="246"/>
      <c r="F23" s="246"/>
      <c r="G23" s="246"/>
      <c r="H23" s="246"/>
      <c r="I23" s="246"/>
      <c r="J23" s="246"/>
      <c r="K23" s="246"/>
      <c r="L23" s="246"/>
      <c r="M23" s="246"/>
      <c r="N23" s="961" t="str">
        <f>IF(ISBLANK(C21)," ",MAX('Pres. Dist.'!G70,'Non-Level Pres. Dist.'!K189))</f>
        <v xml:space="preserve"> </v>
      </c>
      <c r="O23" s="962"/>
      <c r="P23" s="8" t="s">
        <v>1184</v>
      </c>
      <c r="Q23" s="8"/>
      <c r="S23" s="8"/>
      <c r="T23" s="55"/>
      <c r="V23" s="9"/>
      <c r="W23" s="4"/>
      <c r="AT23" s="19"/>
    </row>
    <row r="24" spans="1:46" ht="18" customHeight="1">
      <c r="A24" s="71">
        <v>5</v>
      </c>
      <c r="B24" s="8" t="s">
        <v>510</v>
      </c>
      <c r="Q24" s="8"/>
      <c r="R24" s="8"/>
      <c r="S24" s="8"/>
      <c r="T24" s="55"/>
      <c r="V24" s="9"/>
      <c r="W24" s="4"/>
      <c r="AT24" s="19"/>
    </row>
    <row r="25" spans="1:46" ht="24" customHeight="1">
      <c r="A25" s="71"/>
      <c r="B25" s="8" t="s">
        <v>316</v>
      </c>
      <c r="E25" s="998" t="str">
        <f>IF(ISBLANK('Design Summary'!D9)," ",'Design Summary'!D9)</f>
        <v xml:space="preserve"> </v>
      </c>
      <c r="F25" s="999"/>
      <c r="G25" s="4" t="s">
        <v>317</v>
      </c>
      <c r="H25" s="76" t="s">
        <v>106</v>
      </c>
      <c r="I25" s="1141">
        <v>0.25</v>
      </c>
      <c r="J25" s="1141"/>
      <c r="K25" s="76" t="s">
        <v>107</v>
      </c>
      <c r="N25" s="961" t="str">
        <f>IF(ISBLANK(C21)," ",(E25*0.25))</f>
        <v xml:space="preserve"> </v>
      </c>
      <c r="O25" s="962"/>
      <c r="P25" s="8" t="s">
        <v>1183</v>
      </c>
      <c r="Q25" s="35"/>
      <c r="R25" s="35"/>
      <c r="T25" s="125"/>
      <c r="V25" s="4"/>
      <c r="W25" s="4"/>
      <c r="AT25" s="19"/>
    </row>
    <row r="26" spans="1:46" ht="6" customHeight="1">
      <c r="A26" s="71"/>
      <c r="B26" s="36"/>
      <c r="C26" s="36"/>
      <c r="D26" s="36"/>
      <c r="E26" s="36"/>
      <c r="F26" s="36"/>
      <c r="G26" s="36"/>
      <c r="H26" s="36"/>
      <c r="I26" s="36"/>
      <c r="J26" s="36"/>
      <c r="K26" s="36"/>
      <c r="L26" s="36"/>
      <c r="M26" s="36"/>
      <c r="N26" s="36"/>
      <c r="O26" s="36"/>
      <c r="P26" s="36"/>
      <c r="Q26" s="8"/>
      <c r="R26" s="8"/>
      <c r="S26" s="8"/>
      <c r="T26" s="55"/>
      <c r="V26" s="4"/>
      <c r="W26" s="4"/>
      <c r="X26" s="10"/>
      <c r="Y26" s="10"/>
      <c r="Z26" s="10"/>
      <c r="AA26" s="10"/>
      <c r="AB26" s="10"/>
      <c r="AC26" s="10"/>
      <c r="AD26" s="10"/>
      <c r="AE26" s="10"/>
      <c r="AF26" s="10"/>
      <c r="AT26" s="19"/>
    </row>
    <row r="27" spans="1:46" ht="6" customHeight="1">
      <c r="A27" s="824"/>
      <c r="B27" s="57"/>
      <c r="C27" s="57"/>
      <c r="D27" s="57"/>
      <c r="E27" s="146"/>
      <c r="F27" s="57"/>
      <c r="G27" s="57"/>
      <c r="H27" s="57"/>
      <c r="I27" s="57"/>
      <c r="J27" s="57"/>
      <c r="K27" s="57"/>
      <c r="L27" s="57"/>
      <c r="M27" s="57"/>
      <c r="N27" s="57"/>
      <c r="O27" s="825"/>
      <c r="P27" s="57"/>
      <c r="Q27" s="57"/>
      <c r="R27" s="57"/>
      <c r="S27" s="57"/>
      <c r="T27" s="826"/>
      <c r="AT27" s="19"/>
    </row>
    <row r="28" spans="1:46" ht="24" customHeight="1">
      <c r="A28" s="71">
        <v>6</v>
      </c>
      <c r="B28" s="1397" t="s">
        <v>1174</v>
      </c>
      <c r="C28" s="1397"/>
      <c r="D28" s="1397"/>
      <c r="E28" s="1397"/>
      <c r="F28" s="1397"/>
      <c r="G28" s="1397"/>
      <c r="H28" s="1397"/>
      <c r="I28" s="1397"/>
      <c r="J28" s="1397"/>
      <c r="K28" s="1060"/>
      <c r="L28" s="1062"/>
      <c r="M28" s="8" t="s">
        <v>101</v>
      </c>
      <c r="Q28" s="8"/>
      <c r="R28" s="8"/>
      <c r="S28" s="8"/>
      <c r="T28" s="55"/>
      <c r="AT28" s="19"/>
    </row>
    <row r="29" spans="1:46" ht="18" customHeight="1">
      <c r="A29" s="71">
        <v>7</v>
      </c>
      <c r="B29" s="8" t="s">
        <v>1150</v>
      </c>
      <c r="Q29" s="8"/>
      <c r="R29" s="8"/>
      <c r="S29" s="8"/>
      <c r="T29" s="125"/>
      <c r="AT29" s="19"/>
    </row>
    <row r="30" spans="1:46" ht="24" customHeight="1">
      <c r="A30" s="71"/>
      <c r="C30" s="998" t="str">
        <f>IF(ISBLANK(E25)," ",E25)</f>
        <v xml:space="preserve"> </v>
      </c>
      <c r="D30" s="999"/>
      <c r="E30" s="1508" t="s">
        <v>551</v>
      </c>
      <c r="F30" s="1509"/>
      <c r="G30" s="998" t="str">
        <f>IF(ISBLANK(K28)," ",K28)</f>
        <v xml:space="preserve"> </v>
      </c>
      <c r="H30" s="999"/>
      <c r="I30" s="1508" t="s">
        <v>1171</v>
      </c>
      <c r="J30" s="1510"/>
      <c r="K30" s="1197" t="str">
        <f>IF(ISBLANK(C21)," ",ROUNDDOWN((C30/G30),0))</f>
        <v xml:space="preserve"> </v>
      </c>
      <c r="L30" s="1501"/>
      <c r="M30" s="7" t="s">
        <v>562</v>
      </c>
      <c r="O30" s="35"/>
      <c r="P30" s="35"/>
      <c r="Q30" s="44"/>
      <c r="R30" s="44"/>
      <c r="S30" s="137"/>
      <c r="T30" s="125"/>
      <c r="AT30" s="19"/>
    </row>
    <row r="31" spans="1:46" ht="19.899999999999999" customHeight="1">
      <c r="A31" s="71">
        <v>8</v>
      </c>
      <c r="B31" s="8" t="s">
        <v>26</v>
      </c>
      <c r="I31" s="35"/>
      <c r="J31" s="9"/>
      <c r="K31" s="35"/>
      <c r="L31" s="4"/>
      <c r="M31" s="44"/>
      <c r="N31" s="7"/>
      <c r="Q31" s="8"/>
      <c r="R31" s="8"/>
      <c r="S31" s="8"/>
      <c r="T31" s="55"/>
      <c r="AT31" s="19"/>
    </row>
    <row r="32" spans="1:46" ht="24" customHeight="1">
      <c r="A32" s="71"/>
      <c r="B32" s="8" t="s">
        <v>154</v>
      </c>
      <c r="C32" s="7" t="s">
        <v>511</v>
      </c>
      <c r="J32" s="998" t="str">
        <f>IF(ISBLANK(K28),"",('Pump-Basic (1) '!F28))</f>
        <v/>
      </c>
      <c r="K32" s="999"/>
      <c r="L32" s="8" t="s">
        <v>538</v>
      </c>
      <c r="Q32" s="8"/>
      <c r="R32" s="8"/>
      <c r="S32" s="8"/>
      <c r="T32" s="55"/>
      <c r="AT32" s="19"/>
    </row>
    <row r="33" spans="1:46" ht="6" customHeight="1">
      <c r="A33" s="71"/>
      <c r="C33" s="7"/>
      <c r="H33" s="35"/>
      <c r="I33" s="35"/>
      <c r="J33" s="18"/>
      <c r="Q33" s="35"/>
      <c r="R33" s="35"/>
      <c r="S33" s="18"/>
      <c r="T33" s="55"/>
      <c r="AT33" s="19"/>
    </row>
    <row r="34" spans="1:46" ht="24" customHeight="1">
      <c r="A34" s="71"/>
      <c r="B34" s="8" t="s">
        <v>527</v>
      </c>
      <c r="C34" s="8" t="s">
        <v>27</v>
      </c>
      <c r="J34" s="961" t="str">
        <f>IF(ISBLANK(K28),"",'Pump-Basic (1) '!F30)</f>
        <v/>
      </c>
      <c r="K34" s="999"/>
      <c r="L34" s="8" t="s">
        <v>525</v>
      </c>
      <c r="Q34" s="35"/>
      <c r="R34" s="35"/>
      <c r="S34" s="18"/>
      <c r="T34" s="55"/>
      <c r="AT34" s="19"/>
    </row>
    <row r="35" spans="1:46" ht="6" customHeight="1">
      <c r="A35" s="71"/>
      <c r="C35" s="224"/>
      <c r="D35" s="224"/>
      <c r="E35" s="76"/>
      <c r="F35" s="224"/>
      <c r="G35" s="224"/>
      <c r="H35" s="227"/>
      <c r="J35" s="266"/>
      <c r="K35" s="267"/>
      <c r="N35" s="7"/>
      <c r="Q35" s="8"/>
      <c r="R35" s="8"/>
      <c r="S35" s="8"/>
      <c r="T35" s="55"/>
      <c r="AT35" s="19"/>
    </row>
    <row r="36" spans="1:46" ht="24" customHeight="1">
      <c r="A36" s="71"/>
      <c r="B36" s="8" t="s">
        <v>156</v>
      </c>
      <c r="C36" s="7" t="s">
        <v>512</v>
      </c>
      <c r="H36" s="227"/>
      <c r="I36" s="224"/>
      <c r="J36" s="1502" t="str">
        <f>IF(ISBLANK(C21)," ",IF(J32=1,"0.045",IF(J32=1.25,"0.078",IF(J32=1.5,"0.110",IF(J32=2,"0.170",IF(J32=3,"0.380"))))))</f>
        <v xml:space="preserve"> </v>
      </c>
      <c r="K36" s="1503"/>
      <c r="L36" s="8" t="s">
        <v>559</v>
      </c>
      <c r="M36" s="44"/>
      <c r="N36" s="7"/>
      <c r="Q36" s="8"/>
      <c r="R36" s="8"/>
      <c r="S36" s="8"/>
      <c r="T36" s="55"/>
      <c r="AT36" s="19"/>
    </row>
    <row r="37" spans="1:46" ht="18" customHeight="1">
      <c r="A37" s="71"/>
      <c r="B37" s="8" t="s">
        <v>476</v>
      </c>
      <c r="C37" s="7" t="s">
        <v>513</v>
      </c>
      <c r="I37" s="35"/>
      <c r="J37" s="9"/>
      <c r="K37" s="9"/>
      <c r="L37" s="4"/>
      <c r="M37" s="44"/>
      <c r="N37" s="7"/>
      <c r="Q37" s="8"/>
      <c r="R37" s="8"/>
      <c r="S37" s="8"/>
      <c r="T37" s="55"/>
      <c r="AH37" s="13"/>
      <c r="AI37" s="13"/>
      <c r="AK37" s="6"/>
      <c r="AL37" s="6"/>
      <c r="AT37" s="19"/>
    </row>
    <row r="38" spans="1:46" ht="24" customHeight="1">
      <c r="A38" s="71"/>
      <c r="C38" s="998" t="str">
        <f>IF(ISBLANK(J32),"",J34)</f>
        <v/>
      </c>
      <c r="D38" s="999"/>
      <c r="E38" s="76" t="s">
        <v>127</v>
      </c>
      <c r="F38" s="998" t="str">
        <f>J36</f>
        <v xml:space="preserve"> </v>
      </c>
      <c r="G38" s="999"/>
      <c r="H38" s="227" t="s">
        <v>1172</v>
      </c>
      <c r="J38" s="967" t="str">
        <f>IF(ISBLANK(C21),"",C38*F38)</f>
        <v/>
      </c>
      <c r="K38" s="1500"/>
      <c r="L38" s="8" t="s">
        <v>101</v>
      </c>
      <c r="N38" s="7"/>
      <c r="Q38" s="8"/>
      <c r="R38" s="8"/>
      <c r="S38" s="8"/>
      <c r="T38" s="55"/>
      <c r="AT38" s="19"/>
    </row>
    <row r="39" spans="1:46" ht="18" customHeight="1">
      <c r="A39" s="71" t="s">
        <v>104</v>
      </c>
      <c r="B39" s="7" t="s">
        <v>1151</v>
      </c>
      <c r="I39" s="35"/>
      <c r="J39" s="9"/>
      <c r="K39" s="35"/>
      <c r="L39" s="4"/>
      <c r="M39" s="44"/>
      <c r="N39" s="7"/>
      <c r="Q39" s="8"/>
      <c r="R39" s="8"/>
      <c r="S39" s="8"/>
      <c r="T39" s="55"/>
      <c r="AT39" s="19"/>
    </row>
    <row r="40" spans="1:46" ht="24" customHeight="1">
      <c r="A40" s="71"/>
      <c r="C40" s="998" t="str">
        <f>IF(ISBLANK(K28), " ", K28)</f>
        <v xml:space="preserve"> </v>
      </c>
      <c r="D40" s="999"/>
      <c r="E40" s="76" t="s">
        <v>564</v>
      </c>
      <c r="F40" s="967" t="str">
        <f>J38</f>
        <v/>
      </c>
      <c r="G40" s="999"/>
      <c r="H40" s="76" t="s">
        <v>565</v>
      </c>
      <c r="I40" s="961" t="str">
        <f>IF(ISBLANK(C21),"",C40+F40)</f>
        <v/>
      </c>
      <c r="J40" s="962"/>
      <c r="K40" s="8" t="s">
        <v>101</v>
      </c>
      <c r="L40" s="4"/>
      <c r="M40" s="44"/>
      <c r="N40" s="7"/>
      <c r="Q40" s="8"/>
      <c r="R40" s="8"/>
      <c r="S40" s="8"/>
      <c r="T40" s="55"/>
      <c r="AT40" s="19"/>
    </row>
    <row r="41" spans="1:46" ht="18" customHeight="1">
      <c r="A41" s="71" t="s">
        <v>108</v>
      </c>
      <c r="B41" s="8" t="s">
        <v>849</v>
      </c>
      <c r="C41" s="188"/>
      <c r="D41" s="188"/>
      <c r="E41" s="76"/>
      <c r="F41" s="142"/>
      <c r="G41" s="188"/>
      <c r="H41" s="76"/>
      <c r="I41" s="142"/>
      <c r="J41" s="142"/>
      <c r="L41" s="4"/>
      <c r="M41" s="44"/>
      <c r="N41" s="7"/>
      <c r="Q41" s="8"/>
      <c r="R41" s="8"/>
      <c r="S41" s="8"/>
      <c r="T41" s="55"/>
      <c r="AH41" s="13"/>
      <c r="AI41" s="13"/>
      <c r="AK41" s="6"/>
      <c r="AL41" s="6"/>
      <c r="AT41" s="19"/>
    </row>
    <row r="42" spans="1:46" ht="24" customHeight="1">
      <c r="A42" s="71"/>
      <c r="C42" s="1060"/>
      <c r="D42" s="1062"/>
      <c r="E42" s="227" t="s">
        <v>296</v>
      </c>
      <c r="F42" s="967" t="str">
        <f>IF(ISBLANK(C21), " ", MAX(I13,AF15))</f>
        <v xml:space="preserve"> </v>
      </c>
      <c r="G42" s="1414"/>
      <c r="H42" s="227" t="s">
        <v>1173</v>
      </c>
      <c r="J42" s="967" t="str">
        <f>IF(ISBLANK(C42), "",C42*F42)</f>
        <v/>
      </c>
      <c r="K42" s="1414"/>
      <c r="L42" s="8" t="s">
        <v>101</v>
      </c>
      <c r="Q42" s="8"/>
      <c r="R42" s="8"/>
      <c r="S42" s="8"/>
      <c r="T42" s="55"/>
      <c r="AH42" s="13"/>
      <c r="AI42" s="13"/>
      <c r="AK42" s="6"/>
      <c r="AL42" s="6"/>
      <c r="AT42" s="19"/>
    </row>
    <row r="43" spans="1:46" ht="6" customHeight="1">
      <c r="A43" s="471"/>
      <c r="B43" s="79"/>
      <c r="C43" s="203"/>
      <c r="D43" s="203"/>
      <c r="E43" s="827"/>
      <c r="F43" s="828"/>
      <c r="G43" s="203"/>
      <c r="H43" s="827"/>
      <c r="I43" s="828"/>
      <c r="J43" s="828"/>
      <c r="K43" s="79"/>
      <c r="L43" s="51"/>
      <c r="M43" s="829"/>
      <c r="N43" s="830"/>
      <c r="O43" s="79"/>
      <c r="P43" s="79"/>
      <c r="Q43" s="79"/>
      <c r="R43" s="79"/>
      <c r="S43" s="79"/>
      <c r="T43" s="132"/>
      <c r="AH43" s="13"/>
      <c r="AI43" s="13"/>
      <c r="AK43" s="6"/>
      <c r="AL43" s="6"/>
      <c r="AT43" s="19"/>
    </row>
    <row r="44" spans="1:46" ht="24" customHeight="1">
      <c r="A44" s="773" t="s">
        <v>1254</v>
      </c>
      <c r="B44" s="387"/>
      <c r="C44" s="387"/>
      <c r="D44" s="387"/>
      <c r="E44" s="387"/>
      <c r="F44" s="387"/>
      <c r="G44" s="387"/>
      <c r="H44" s="387"/>
      <c r="I44" s="387"/>
      <c r="J44" s="387"/>
      <c r="K44" s="387"/>
      <c r="L44" s="387"/>
      <c r="M44" s="387"/>
      <c r="N44" s="387"/>
      <c r="O44" s="387"/>
      <c r="P44" s="387"/>
      <c r="Q44" s="387"/>
      <c r="R44" s="387"/>
      <c r="S44" s="387"/>
      <c r="T44" s="772"/>
      <c r="AH44" s="13"/>
      <c r="AI44" s="13"/>
      <c r="AK44" s="6"/>
      <c r="AL44" s="6"/>
      <c r="AT44" s="19"/>
    </row>
    <row r="45" spans="1:46" ht="19.899999999999999" customHeight="1">
      <c r="A45" s="846" t="s">
        <v>110</v>
      </c>
      <c r="B45" s="57" t="s">
        <v>519</v>
      </c>
      <c r="C45" s="57"/>
      <c r="D45" s="57"/>
      <c r="E45" s="57"/>
      <c r="F45" s="57"/>
      <c r="G45" s="57"/>
      <c r="H45" s="57"/>
      <c r="I45" s="57"/>
      <c r="J45" s="57"/>
      <c r="K45" s="57"/>
      <c r="L45" s="57"/>
      <c r="M45" s="57"/>
      <c r="N45" s="57"/>
      <c r="O45" s="57"/>
      <c r="P45" s="57"/>
      <c r="Q45" s="146"/>
      <c r="R45" s="146"/>
      <c r="S45" s="146"/>
      <c r="T45" s="847"/>
      <c r="AH45" s="13"/>
      <c r="AI45" s="13"/>
      <c r="AK45" s="6"/>
      <c r="AL45" s="6"/>
      <c r="AT45" s="19"/>
    </row>
    <row r="46" spans="1:46" ht="18" customHeight="1">
      <c r="A46" s="52"/>
      <c r="B46" s="7" t="s">
        <v>855</v>
      </c>
      <c r="T46" s="125"/>
    </row>
    <row r="47" spans="1:46" ht="24" customHeight="1">
      <c r="A47" s="52"/>
      <c r="C47" s="961" t="str">
        <f>I40</f>
        <v/>
      </c>
      <c r="D47" s="962"/>
      <c r="E47" s="1508" t="s">
        <v>1175</v>
      </c>
      <c r="F47" s="1509"/>
      <c r="G47" s="967" t="str">
        <f>IF(ISBLANK(C42), " ",I13)</f>
        <v xml:space="preserve"> </v>
      </c>
      <c r="H47" s="968"/>
      <c r="I47" s="1141" t="s">
        <v>259</v>
      </c>
      <c r="J47" s="1141"/>
      <c r="K47" s="967" t="str">
        <f>IF(ISBLANK(C21),"",C47/G47)</f>
        <v/>
      </c>
      <c r="L47" s="968"/>
      <c r="M47" s="8" t="s">
        <v>151</v>
      </c>
      <c r="T47" s="55"/>
    </row>
    <row r="48" spans="1:46" ht="19.899999999999999" customHeight="1" thickBot="1">
      <c r="A48" s="71" t="s">
        <v>115</v>
      </c>
      <c r="B48" s="133" t="s">
        <v>319</v>
      </c>
      <c r="C48" s="35"/>
      <c r="D48" s="35"/>
      <c r="E48" s="9"/>
      <c r="F48" s="43"/>
      <c r="G48" s="35"/>
      <c r="H48" s="4"/>
      <c r="I48" s="37"/>
      <c r="N48" s="8" t="s">
        <v>1022</v>
      </c>
      <c r="P48" s="601" t="str">
        <f>K47</f>
        <v/>
      </c>
      <c r="Q48" s="8" t="s">
        <v>99</v>
      </c>
      <c r="R48" s="8"/>
      <c r="S48" s="8"/>
      <c r="T48" s="55"/>
      <c r="AL48" s="6"/>
      <c r="AT48" s="19"/>
    </row>
    <row r="49" spans="1:35" ht="18" customHeight="1">
      <c r="A49" s="52" t="s">
        <v>154</v>
      </c>
      <c r="B49" s="7" t="s">
        <v>1152</v>
      </c>
      <c r="C49" s="36"/>
      <c r="D49" s="36"/>
      <c r="E49" s="36"/>
      <c r="F49" s="36"/>
      <c r="G49" s="36"/>
      <c r="H49" s="36"/>
      <c r="I49" s="36"/>
      <c r="J49" s="36"/>
      <c r="K49" s="36"/>
      <c r="N49" s="4"/>
      <c r="P49" s="6"/>
      <c r="Q49" s="8"/>
      <c r="S49" s="8"/>
      <c r="T49" s="55"/>
      <c r="AG49" s="6"/>
      <c r="AH49" s="13"/>
      <c r="AI49" s="13"/>
    </row>
    <row r="50" spans="1:35" ht="24" customHeight="1" thickBot="1">
      <c r="A50" s="52"/>
      <c r="C50" s="998" t="str">
        <f>IF(ISBLANK(C42), "",C21)</f>
        <v/>
      </c>
      <c r="D50" s="999"/>
      <c r="E50" s="76" t="s">
        <v>260</v>
      </c>
      <c r="G50" s="961" t="str">
        <f>IF(ISBLANK(C42), "",C42)</f>
        <v/>
      </c>
      <c r="H50" s="962"/>
      <c r="I50" s="76" t="s">
        <v>261</v>
      </c>
      <c r="J50" s="961" t="str">
        <f>IF(ISBLANK(C42), "",C50+G50)</f>
        <v/>
      </c>
      <c r="K50" s="962"/>
      <c r="L50" s="8" t="s">
        <v>151</v>
      </c>
      <c r="M50" s="4"/>
      <c r="N50" s="1" t="s">
        <v>30</v>
      </c>
      <c r="O50" s="1"/>
      <c r="P50" s="629" t="str">
        <f>J54</f>
        <v/>
      </c>
      <c r="Q50" s="34" t="s">
        <v>99</v>
      </c>
      <c r="S50" s="8"/>
      <c r="T50" s="55"/>
      <c r="AG50" s="6"/>
      <c r="AH50" s="13"/>
      <c r="AI50" s="13"/>
    </row>
    <row r="51" spans="1:35" ht="18" customHeight="1" thickBot="1">
      <c r="A51" s="52" t="s">
        <v>527</v>
      </c>
      <c r="B51" s="5" t="s">
        <v>857</v>
      </c>
      <c r="C51" s="412"/>
      <c r="D51" s="412"/>
      <c r="E51" s="412"/>
      <c r="F51" s="412"/>
      <c r="G51" s="412"/>
      <c r="H51" s="412"/>
      <c r="I51" s="412"/>
      <c r="J51" s="412"/>
      <c r="K51" s="412"/>
      <c r="L51" s="75"/>
      <c r="M51" s="75"/>
      <c r="N51" s="8" t="s">
        <v>28</v>
      </c>
      <c r="P51" s="630" t="str">
        <f>J52</f>
        <v/>
      </c>
      <c r="Q51" s="8" t="s">
        <v>99</v>
      </c>
      <c r="R51" s="845" t="str">
        <f>J42</f>
        <v/>
      </c>
      <c r="S51" s="613" t="str">
        <f>"Gal"</f>
        <v>Gal</v>
      </c>
      <c r="T51" s="248"/>
    </row>
    <row r="52" spans="1:35" ht="24" customHeight="1" thickBot="1">
      <c r="A52" s="127"/>
      <c r="C52" s="961" t="str">
        <f>J50</f>
        <v/>
      </c>
      <c r="D52" s="999"/>
      <c r="E52" s="76" t="s">
        <v>260</v>
      </c>
      <c r="G52" s="967" t="str">
        <f>K47</f>
        <v/>
      </c>
      <c r="H52" s="999"/>
      <c r="I52" s="76" t="s">
        <v>261</v>
      </c>
      <c r="J52" s="961" t="str">
        <f>IF(ISBLANK(C21),"",C52+G52)</f>
        <v/>
      </c>
      <c r="K52" s="962"/>
      <c r="L52" s="8" t="s">
        <v>151</v>
      </c>
      <c r="N52" s="8" t="s">
        <v>29</v>
      </c>
      <c r="P52" s="630" t="str">
        <f>IF(ISBLANK(C42), " ",J50)</f>
        <v xml:space="preserve"> </v>
      </c>
      <c r="Q52" s="8" t="s">
        <v>99</v>
      </c>
      <c r="R52" s="613" t="str">
        <f>C47</f>
        <v/>
      </c>
      <c r="S52" s="613" t="str">
        <f>"Gal"</f>
        <v>Gal</v>
      </c>
      <c r="T52" s="55"/>
    </row>
    <row r="53" spans="1:35" ht="18" customHeight="1">
      <c r="A53" s="52" t="s">
        <v>156</v>
      </c>
      <c r="B53" s="7" t="s">
        <v>858</v>
      </c>
      <c r="C53" s="36"/>
      <c r="D53" s="36"/>
      <c r="E53" s="36"/>
      <c r="F53" s="36"/>
      <c r="G53" s="36"/>
      <c r="H53" s="36"/>
      <c r="I53" s="36"/>
      <c r="J53" s="36"/>
      <c r="K53" s="36"/>
      <c r="Q53" s="1511" t="str">
        <f>IF(ISBLANK(C21),"",(J50*H21))</f>
        <v/>
      </c>
      <c r="R53" s="1511"/>
      <c r="S53" s="613" t="str">
        <f>"Gal"</f>
        <v>Gal</v>
      </c>
      <c r="T53" s="55"/>
    </row>
    <row r="54" spans="1:35" ht="24" customHeight="1">
      <c r="A54" s="52"/>
      <c r="C54" s="961" t="str">
        <f>J52</f>
        <v/>
      </c>
      <c r="D54" s="962"/>
      <c r="E54" s="76" t="s">
        <v>260</v>
      </c>
      <c r="G54" s="967" t="str">
        <f>G50</f>
        <v/>
      </c>
      <c r="H54" s="968"/>
      <c r="I54" s="228" t="s">
        <v>262</v>
      </c>
      <c r="J54" s="961" t="str">
        <f>IF(ISBLANK(C21),"",C54+G54)</f>
        <v/>
      </c>
      <c r="K54" s="962"/>
      <c r="L54" s="8" t="s">
        <v>151</v>
      </c>
      <c r="Q54" s="8"/>
      <c r="R54" s="8"/>
      <c r="S54" s="8"/>
      <c r="T54" s="55"/>
    </row>
    <row r="55" spans="1:35" ht="6" customHeight="1">
      <c r="A55" s="138"/>
      <c r="B55" s="848"/>
      <c r="C55" s="848"/>
      <c r="D55" s="827"/>
      <c r="E55" s="828"/>
      <c r="F55" s="828"/>
      <c r="G55" s="849"/>
      <c r="H55" s="848"/>
      <c r="I55" s="79"/>
      <c r="J55" s="79"/>
      <c r="K55" s="79"/>
      <c r="L55" s="79"/>
      <c r="M55" s="79"/>
      <c r="N55" s="79"/>
      <c r="O55" s="79"/>
      <c r="P55" s="79"/>
      <c r="Q55" s="79"/>
      <c r="R55" s="79"/>
      <c r="S55" s="79"/>
      <c r="T55" s="132"/>
    </row>
    <row r="56" spans="1:35" ht="6" customHeight="1"/>
    <row r="57" spans="1:35" ht="18" customHeight="1">
      <c r="K57" s="1"/>
      <c r="L57" s="16"/>
      <c r="M57" s="1"/>
      <c r="N57" s="1"/>
      <c r="O57" s="1"/>
      <c r="P57" s="1"/>
      <c r="Q57" s="1"/>
    </row>
    <row r="58" spans="1:35" ht="18" customHeight="1">
      <c r="K58" s="15"/>
      <c r="L58" s="15"/>
      <c r="M58" s="15"/>
      <c r="N58" s="15"/>
      <c r="O58" s="24"/>
      <c r="Q58" s="15"/>
    </row>
    <row r="59" spans="1:35" ht="18" customHeight="1"/>
    <row r="60" spans="1:35" ht="19.899999999999999" customHeight="1"/>
    <row r="61" spans="1:35" ht="18" customHeight="1">
      <c r="A61" s="16"/>
      <c r="B61" s="16"/>
      <c r="C61" s="17"/>
      <c r="D61" s="16"/>
      <c r="E61" s="1"/>
      <c r="F61" s="16"/>
      <c r="G61" s="16"/>
      <c r="H61" s="1"/>
      <c r="I61" s="16"/>
      <c r="J61" s="16"/>
      <c r="R61" s="1"/>
      <c r="S61" s="1"/>
      <c r="T61" s="1"/>
    </row>
    <row r="62" spans="1:35" ht="18" customHeight="1">
      <c r="A62" s="1"/>
      <c r="B62" s="1"/>
      <c r="D62" s="4"/>
      <c r="E62" s="4"/>
      <c r="F62" s="4"/>
      <c r="G62" s="4"/>
      <c r="H62" s="4"/>
      <c r="I62" s="3"/>
      <c r="R62" s="15"/>
      <c r="S62" s="15"/>
      <c r="T62" s="15"/>
    </row>
    <row r="63" spans="1:35" ht="19.899999999999999" customHeight="1"/>
    <row r="64" spans="1:35" ht="18" customHeight="1"/>
    <row r="65" ht="19.899999999999999" customHeight="1"/>
    <row r="66" ht="18" customHeight="1"/>
    <row r="67" ht="19.899999999999999" customHeight="1"/>
    <row r="68" ht="6" customHeight="1"/>
    <row r="69" ht="18" customHeight="1"/>
    <row r="70" ht="19.5" customHeight="1"/>
    <row r="71" ht="19.5" customHeight="1"/>
    <row r="72" ht="19.5" customHeight="1"/>
    <row r="73" ht="19.5" customHeight="1"/>
    <row r="74" ht="17.25" customHeight="1"/>
    <row r="75" ht="24" customHeight="1"/>
    <row r="76" ht="19.5" customHeight="1"/>
    <row r="77" ht="19.5" customHeight="1"/>
    <row r="78" ht="19.5" customHeight="1"/>
    <row r="79" ht="18" customHeight="1"/>
    <row r="80" ht="18" customHeight="1"/>
    <row r="81" spans="21:22" ht="18" customHeight="1"/>
    <row r="82" spans="21:22" ht="18" customHeight="1"/>
    <row r="83" spans="21:22" ht="18" customHeight="1"/>
    <row r="84" spans="21:22" ht="18" customHeight="1">
      <c r="U84" s="15"/>
      <c r="V84" s="15"/>
    </row>
    <row r="85" spans="21:22" ht="35.1" customHeight="1">
      <c r="U85" s="15"/>
      <c r="V85" s="15"/>
    </row>
    <row r="86" spans="21:22" ht="35.1" customHeight="1">
      <c r="U86" s="15"/>
      <c r="V86" s="15"/>
    </row>
    <row r="87" spans="21:22" ht="35.1" customHeight="1">
      <c r="U87" s="15"/>
      <c r="V87" s="15"/>
    </row>
    <row r="88" spans="21:22" ht="35.1" customHeight="1">
      <c r="U88" s="69"/>
      <c r="V88" s="1"/>
    </row>
    <row r="89" spans="21:22" ht="35.1" customHeight="1">
      <c r="U89" s="69"/>
      <c r="V89" s="1"/>
    </row>
    <row r="90" spans="21:22" ht="35.1" customHeight="1">
      <c r="U90" s="15"/>
      <c r="V90" s="1"/>
    </row>
  </sheetData>
  <sheetProtection sheet="1" objects="1" scenarios="1"/>
  <mergeCells count="69">
    <mergeCell ref="F1:M1"/>
    <mergeCell ref="B2:K2"/>
    <mergeCell ref="L2:M2"/>
    <mergeCell ref="N2:O2"/>
    <mergeCell ref="I4:J4"/>
    <mergeCell ref="R6:S6"/>
    <mergeCell ref="W6:X6"/>
    <mergeCell ref="AA6:AB6"/>
    <mergeCell ref="AE6:AF6"/>
    <mergeCell ref="F9:J9"/>
    <mergeCell ref="N9:R9"/>
    <mergeCell ref="I6:J6"/>
    <mergeCell ref="AF18:AG18"/>
    <mergeCell ref="W20:X20"/>
    <mergeCell ref="AA20:AB20"/>
    <mergeCell ref="AF20:AG20"/>
    <mergeCell ref="I11:J11"/>
    <mergeCell ref="N11:T15"/>
    <mergeCell ref="Z11:AA11"/>
    <mergeCell ref="AE11:AF11"/>
    <mergeCell ref="I13:J13"/>
    <mergeCell ref="W13:AK14"/>
    <mergeCell ref="I15:J15"/>
    <mergeCell ref="W15:X15"/>
    <mergeCell ref="AF15:AG15"/>
    <mergeCell ref="E25:F25"/>
    <mergeCell ref="I25:J25"/>
    <mergeCell ref="N25:O25"/>
    <mergeCell ref="A17:T17"/>
    <mergeCell ref="B18:S19"/>
    <mergeCell ref="C21:D21"/>
    <mergeCell ref="H21:I21"/>
    <mergeCell ref="N21:O21"/>
    <mergeCell ref="B22:M22"/>
    <mergeCell ref="N23:O23"/>
    <mergeCell ref="B28:J28"/>
    <mergeCell ref="K28:L28"/>
    <mergeCell ref="C30:D30"/>
    <mergeCell ref="E30:F30"/>
    <mergeCell ref="G30:H30"/>
    <mergeCell ref="I30:J30"/>
    <mergeCell ref="K30:L30"/>
    <mergeCell ref="J32:K32"/>
    <mergeCell ref="J34:K34"/>
    <mergeCell ref="J36:K36"/>
    <mergeCell ref="C38:D38"/>
    <mergeCell ref="F38:G38"/>
    <mergeCell ref="J38:K38"/>
    <mergeCell ref="C50:D50"/>
    <mergeCell ref="G50:H50"/>
    <mergeCell ref="J50:K50"/>
    <mergeCell ref="C40:D40"/>
    <mergeCell ref="F40:G40"/>
    <mergeCell ref="I40:J40"/>
    <mergeCell ref="C42:D42"/>
    <mergeCell ref="F42:G42"/>
    <mergeCell ref="J42:K42"/>
    <mergeCell ref="C47:D47"/>
    <mergeCell ref="E47:F47"/>
    <mergeCell ref="G47:H47"/>
    <mergeCell ref="I47:J47"/>
    <mergeCell ref="K47:L47"/>
    <mergeCell ref="C52:D52"/>
    <mergeCell ref="G52:H52"/>
    <mergeCell ref="J52:K52"/>
    <mergeCell ref="Q53:R53"/>
    <mergeCell ref="C54:D54"/>
    <mergeCell ref="G54:H54"/>
    <mergeCell ref="J54:K54"/>
  </mergeCells>
  <dataValidations count="3">
    <dataValidation type="whole" allowBlank="1" showInputMessage="1" showErrorMessage="1" error="Must be between Min and Max" sqref="K28:L28" xr:uid="{00000000-0002-0000-1000-000000000000}">
      <formula1>N23-1</formula1>
      <formula2>N25</formula2>
    </dataValidation>
    <dataValidation type="list" allowBlank="1" showInputMessage="1" showErrorMessage="1" sqref="H33" xr:uid="{00000000-0002-0000-1000-000001000000}">
      <formula1>$AK$41:$AK$45</formula1>
    </dataValidation>
    <dataValidation type="list" allowBlank="1" showInputMessage="1" sqref="C42:D42" xr:uid="{00000000-0002-0000-1000-000002000000}">
      <formula1>DepthAlarm</formula1>
    </dataValidation>
  </dataValidations>
  <pageMargins left="0.7" right="0.7" top="0.75" bottom="0.75" header="0.3" footer="0.3"/>
  <pageSetup scale="64"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FF6600"/>
    <pageSetUpPr fitToPage="1"/>
  </sheetPr>
  <dimension ref="A1:AU76"/>
  <sheetViews>
    <sheetView view="pageBreakPreview" zoomScaleNormal="100" zoomScaleSheetLayoutView="100" workbookViewId="0">
      <selection activeCell="K28" sqref="K28:L28"/>
    </sheetView>
  </sheetViews>
  <sheetFormatPr defaultColWidth="6.7109375" defaultRowHeight="35.1" customHeight="1"/>
  <cols>
    <col min="1" max="1" width="3.7109375" style="8" customWidth="1"/>
    <col min="2" max="16" width="7.28515625" style="8" customWidth="1"/>
    <col min="17" max="20" width="7.28515625" style="4" customWidth="1"/>
    <col min="21" max="34" width="6.7109375" style="8" customWidth="1"/>
    <col min="35" max="16384" width="6.7109375" style="8"/>
  </cols>
  <sheetData>
    <row r="1" spans="1:47" ht="69.599999999999994" customHeight="1">
      <c r="B1" s="216"/>
      <c r="C1" s="216"/>
      <c r="D1" s="216"/>
      <c r="F1" s="1499" t="s">
        <v>1252</v>
      </c>
      <c r="G1" s="1499"/>
      <c r="H1" s="1499"/>
      <c r="I1" s="1499"/>
      <c r="J1" s="1499"/>
      <c r="K1" s="1499"/>
      <c r="L1" s="1499"/>
      <c r="M1" s="1499"/>
      <c r="N1" s="844"/>
      <c r="O1" s="844"/>
      <c r="P1" s="822"/>
      <c r="Q1" s="822"/>
      <c r="R1" s="822"/>
      <c r="S1" s="822"/>
      <c r="T1" s="822"/>
      <c r="V1" s="18"/>
      <c r="X1" s="18"/>
      <c r="Y1" s="18"/>
      <c r="Z1" s="18"/>
      <c r="AA1" s="18"/>
      <c r="AB1" s="18"/>
      <c r="AC1" s="18"/>
      <c r="AD1" s="48"/>
      <c r="AE1" s="48"/>
      <c r="AF1" s="20"/>
      <c r="AG1" s="20"/>
      <c r="AH1" s="18"/>
      <c r="AI1" s="18"/>
      <c r="AJ1" s="18"/>
      <c r="AK1" s="18"/>
      <c r="AL1" s="18"/>
      <c r="AM1" s="18"/>
      <c r="AN1" s="18"/>
      <c r="AO1" s="22"/>
    </row>
    <row r="2" spans="1:47" ht="24" customHeight="1">
      <c r="A2" s="773"/>
      <c r="B2" s="1134" t="s">
        <v>847</v>
      </c>
      <c r="C2" s="1134"/>
      <c r="D2" s="1134"/>
      <c r="E2" s="1134"/>
      <c r="F2" s="1134"/>
      <c r="G2" s="1134"/>
      <c r="H2" s="1134"/>
      <c r="I2" s="1134"/>
      <c r="J2" s="1134"/>
      <c r="K2" s="1134"/>
      <c r="L2" s="1198" t="s">
        <v>832</v>
      </c>
      <c r="M2" s="1198"/>
      <c r="N2" s="1496" t="str">
        <f>IF(ISBLANK('Design Summary'!Q3)," ",'Design Summary'!Q3)</f>
        <v xml:space="preserve"> </v>
      </c>
      <c r="O2" s="1496"/>
      <c r="P2" s="387"/>
      <c r="Q2" s="387"/>
      <c r="R2" s="387"/>
      <c r="S2" s="387"/>
      <c r="T2" s="404" t="str">
        <f>'Drop-Down Lists'!J40</f>
        <v>v 04.20.2016</v>
      </c>
      <c r="V2" s="841"/>
      <c r="W2" s="18" t="s">
        <v>876</v>
      </c>
      <c r="AH2" s="18"/>
      <c r="AI2" s="18"/>
      <c r="AJ2" s="18"/>
      <c r="AK2" s="18"/>
      <c r="AL2" s="18"/>
      <c r="AM2" s="18"/>
      <c r="AN2" s="18"/>
      <c r="AO2" s="18"/>
      <c r="AT2" s="19"/>
      <c r="AU2" s="19"/>
    </row>
    <row r="3" spans="1:47" ht="6" customHeight="1">
      <c r="A3" s="200"/>
      <c r="B3" s="135"/>
      <c r="C3" s="135"/>
      <c r="D3" s="135"/>
      <c r="E3" s="135"/>
      <c r="F3" s="135"/>
      <c r="G3" s="135"/>
      <c r="H3" s="135"/>
      <c r="I3" s="135" t="s">
        <v>721</v>
      </c>
      <c r="J3" s="135"/>
      <c r="K3" s="135"/>
      <c r="L3" s="135"/>
      <c r="M3" s="135"/>
      <c r="N3" s="135"/>
      <c r="O3" s="135"/>
      <c r="P3" s="135"/>
      <c r="Q3" s="135"/>
      <c r="R3" s="135"/>
      <c r="S3" s="135"/>
      <c r="T3" s="774"/>
      <c r="AL3" s="4"/>
      <c r="AM3" s="4"/>
      <c r="AN3" s="4"/>
      <c r="AO3" s="4"/>
      <c r="AT3" s="19"/>
      <c r="AU3" s="19"/>
    </row>
    <row r="4" spans="1:47" ht="24" customHeight="1">
      <c r="A4" s="124" t="s">
        <v>93</v>
      </c>
      <c r="B4" s="476" t="s">
        <v>154</v>
      </c>
      <c r="C4" s="491" t="s">
        <v>679</v>
      </c>
      <c r="D4" s="450"/>
      <c r="E4" s="450"/>
      <c r="F4" s="450"/>
      <c r="G4" s="450"/>
      <c r="I4" s="986" t="str">
        <f>IF(ISBLANK('Design Summary'!D9),"",'Design Summary'!D9)</f>
        <v/>
      </c>
      <c r="J4" s="1268"/>
      <c r="K4" s="450" t="s">
        <v>317</v>
      </c>
      <c r="L4" s="18"/>
      <c r="M4" s="18"/>
      <c r="N4" s="18"/>
      <c r="O4" s="18"/>
      <c r="P4" s="18"/>
      <c r="Q4" s="18"/>
      <c r="R4" s="18"/>
      <c r="S4" s="18"/>
      <c r="T4" s="775"/>
      <c r="V4" s="4" t="s">
        <v>154</v>
      </c>
      <c r="W4" s="8" t="s">
        <v>155</v>
      </c>
      <c r="AL4" s="4"/>
      <c r="AM4" s="4"/>
      <c r="AN4" s="4"/>
      <c r="AO4" s="4"/>
      <c r="AT4" s="19"/>
      <c r="AU4" s="19"/>
    </row>
    <row r="5" spans="1:47" ht="6" customHeight="1">
      <c r="A5" s="199"/>
      <c r="B5" s="18"/>
      <c r="C5" s="18"/>
      <c r="D5" s="18"/>
      <c r="E5" s="18"/>
      <c r="F5" s="18"/>
      <c r="G5" s="18"/>
      <c r="H5" s="18"/>
      <c r="L5" s="18"/>
      <c r="M5" s="18"/>
      <c r="N5" s="18"/>
      <c r="O5" s="18"/>
      <c r="P5" s="18"/>
      <c r="Q5" s="18"/>
      <c r="R5" s="18"/>
      <c r="S5" s="18"/>
      <c r="T5" s="775"/>
      <c r="AL5" s="4"/>
      <c r="AM5" s="4"/>
      <c r="AN5" s="4"/>
      <c r="AO5" s="4"/>
      <c r="AT5" s="19"/>
      <c r="AU5" s="19"/>
    </row>
    <row r="6" spans="1:47" ht="24" customHeight="1">
      <c r="A6" s="199"/>
      <c r="B6" s="4" t="s">
        <v>527</v>
      </c>
      <c r="C6" s="8" t="s">
        <v>1166</v>
      </c>
      <c r="I6" s="1148"/>
      <c r="J6" s="1149"/>
      <c r="K6" s="8" t="s">
        <v>633</v>
      </c>
      <c r="L6" s="8" t="s">
        <v>1167</v>
      </c>
      <c r="Q6" s="8"/>
      <c r="R6" s="1148"/>
      <c r="S6" s="1149"/>
      <c r="T6" s="628" t="s">
        <v>633</v>
      </c>
      <c r="W6" s="1497"/>
      <c r="X6" s="1498"/>
      <c r="Y6" s="8" t="s">
        <v>97</v>
      </c>
      <c r="Z6" s="76" t="s">
        <v>106</v>
      </c>
      <c r="AA6" s="1497"/>
      <c r="AB6" s="1498"/>
      <c r="AC6" s="4" t="s">
        <v>97</v>
      </c>
      <c r="AD6" s="76" t="s">
        <v>107</v>
      </c>
      <c r="AE6" s="967" t="str">
        <f>IF(ISBLANK(W6), " ", (W6*AA6))</f>
        <v xml:space="preserve"> </v>
      </c>
      <c r="AF6" s="968"/>
      <c r="AG6" s="8" t="s">
        <v>31</v>
      </c>
      <c r="AL6" s="4"/>
      <c r="AM6" s="4"/>
      <c r="AN6" s="4"/>
      <c r="AO6" s="4"/>
      <c r="AT6" s="19"/>
      <c r="AU6" s="19"/>
    </row>
    <row r="7" spans="1:47" ht="6" customHeight="1">
      <c r="A7" s="199"/>
      <c r="B7" s="4"/>
      <c r="I7" s="78"/>
      <c r="J7" s="78"/>
      <c r="Q7" s="8"/>
      <c r="R7" s="78"/>
      <c r="S7" s="78"/>
      <c r="T7" s="55"/>
      <c r="AL7" s="4"/>
      <c r="AM7" s="4"/>
      <c r="AN7" s="4"/>
      <c r="AO7" s="4"/>
      <c r="AT7" s="19"/>
      <c r="AU7" s="19"/>
    </row>
    <row r="8" spans="1:47" ht="6" customHeight="1">
      <c r="A8" s="200"/>
      <c r="B8" s="135"/>
      <c r="C8" s="135"/>
      <c r="D8" s="135"/>
      <c r="E8" s="135"/>
      <c r="F8" s="135"/>
      <c r="G8" s="135"/>
      <c r="H8" s="135"/>
      <c r="I8" s="57"/>
      <c r="J8" s="57"/>
      <c r="K8" s="57"/>
      <c r="L8" s="135"/>
      <c r="M8" s="135"/>
      <c r="N8" s="135"/>
      <c r="O8" s="135"/>
      <c r="P8" s="135"/>
      <c r="Q8" s="135"/>
      <c r="R8" s="135"/>
      <c r="S8" s="135"/>
      <c r="T8" s="774"/>
      <c r="AL8" s="4"/>
      <c r="AM8" s="4"/>
      <c r="AN8" s="4"/>
      <c r="AO8" s="4"/>
      <c r="AT8" s="19"/>
      <c r="AU8" s="19"/>
    </row>
    <row r="9" spans="1:47" ht="24" customHeight="1">
      <c r="A9" s="124" t="s">
        <v>94</v>
      </c>
      <c r="B9" s="4" t="s">
        <v>154</v>
      </c>
      <c r="C9" s="8" t="s">
        <v>809</v>
      </c>
      <c r="D9" s="37"/>
      <c r="E9" s="4"/>
      <c r="F9" s="1148"/>
      <c r="G9" s="1505"/>
      <c r="H9" s="1505"/>
      <c r="I9" s="1505"/>
      <c r="J9" s="1149"/>
      <c r="K9" s="4" t="s">
        <v>527</v>
      </c>
      <c r="L9" s="8" t="s">
        <v>810</v>
      </c>
      <c r="M9" s="37"/>
      <c r="N9" s="1060"/>
      <c r="O9" s="1061"/>
      <c r="P9" s="1061"/>
      <c r="Q9" s="1061"/>
      <c r="R9" s="1062"/>
      <c r="T9" s="125"/>
      <c r="V9" s="4" t="s">
        <v>527</v>
      </c>
      <c r="W9" s="8" t="s">
        <v>560</v>
      </c>
      <c r="AK9" s="406"/>
      <c r="AL9" s="406"/>
      <c r="AM9" s="406"/>
      <c r="AN9" s="406"/>
      <c r="AO9" s="4"/>
      <c r="AT9" s="19"/>
      <c r="AU9" s="19"/>
    </row>
    <row r="10" spans="1:47" ht="6" customHeight="1">
      <c r="A10" s="52"/>
      <c r="B10" s="4"/>
      <c r="D10" s="37"/>
      <c r="E10" s="4"/>
      <c r="F10" s="43"/>
      <c r="G10" s="43"/>
      <c r="H10" s="70"/>
      <c r="J10" s="4"/>
      <c r="K10" s="43"/>
      <c r="L10" s="43"/>
      <c r="M10" s="4"/>
      <c r="N10" s="514"/>
      <c r="O10" s="514"/>
      <c r="P10" s="238"/>
      <c r="Q10" s="238"/>
      <c r="R10" s="238"/>
      <c r="S10" s="238"/>
      <c r="T10" s="840"/>
      <c r="AK10" s="406"/>
      <c r="AL10" s="406"/>
      <c r="AM10" s="406"/>
      <c r="AN10" s="406"/>
      <c r="AO10" s="4"/>
      <c r="AT10" s="19"/>
      <c r="AU10" s="19"/>
    </row>
    <row r="11" spans="1:47" ht="24" customHeight="1">
      <c r="A11" s="52"/>
      <c r="B11" s="4" t="s">
        <v>156</v>
      </c>
      <c r="C11" s="8" t="s">
        <v>877</v>
      </c>
      <c r="I11" s="1148"/>
      <c r="J11" s="1376"/>
      <c r="K11" s="8" t="s">
        <v>101</v>
      </c>
      <c r="N11" s="1506" t="s">
        <v>879</v>
      </c>
      <c r="O11" s="1506"/>
      <c r="P11" s="1506"/>
      <c r="Q11" s="1506"/>
      <c r="R11" s="1506"/>
      <c r="S11" s="1506"/>
      <c r="T11" s="1507"/>
      <c r="X11" s="76" t="s">
        <v>294</v>
      </c>
      <c r="Z11" s="1497"/>
      <c r="AA11" s="1498"/>
      <c r="AB11" s="219">
        <v>2</v>
      </c>
      <c r="AC11" s="8" t="s">
        <v>97</v>
      </c>
      <c r="AD11" s="76" t="s">
        <v>107</v>
      </c>
      <c r="AE11" s="967" t="str">
        <f>IF(ISBLANK(Z11)," ",PI()*Z11*Z11)</f>
        <v xml:space="preserve"> </v>
      </c>
      <c r="AF11" s="968"/>
      <c r="AG11" s="8" t="s">
        <v>31</v>
      </c>
      <c r="AT11" s="19"/>
      <c r="AU11" s="19"/>
    </row>
    <row r="12" spans="1:47" ht="6" customHeight="1">
      <c r="A12" s="52"/>
      <c r="B12" s="4"/>
      <c r="I12" s="142"/>
      <c r="J12" s="142"/>
      <c r="K12" s="142"/>
      <c r="N12" s="1506"/>
      <c r="O12" s="1506"/>
      <c r="P12" s="1506"/>
      <c r="Q12" s="1506"/>
      <c r="R12" s="1506"/>
      <c r="S12" s="1506"/>
      <c r="T12" s="1507"/>
      <c r="V12" s="841"/>
      <c r="AK12" s="4"/>
      <c r="AL12" s="4"/>
      <c r="AM12" s="4"/>
      <c r="AN12" s="4"/>
      <c r="AO12" s="4"/>
      <c r="AT12" s="19"/>
    </row>
    <row r="13" spans="1:47" ht="24" customHeight="1">
      <c r="A13" s="52"/>
      <c r="B13" s="4" t="s">
        <v>476</v>
      </c>
      <c r="C13" s="8" t="s">
        <v>853</v>
      </c>
      <c r="H13" s="142"/>
      <c r="I13" s="1393"/>
      <c r="J13" s="1472"/>
      <c r="K13" s="8" t="s">
        <v>591</v>
      </c>
      <c r="N13" s="1506"/>
      <c r="O13" s="1506"/>
      <c r="P13" s="1506"/>
      <c r="Q13" s="1506"/>
      <c r="R13" s="1506"/>
      <c r="S13" s="1506"/>
      <c r="T13" s="1507"/>
      <c r="V13" s="4" t="s">
        <v>156</v>
      </c>
      <c r="W13" s="1056" t="s">
        <v>1320</v>
      </c>
      <c r="X13" s="1056"/>
      <c r="Y13" s="1056"/>
      <c r="Z13" s="1056"/>
      <c r="AA13" s="1056"/>
      <c r="AB13" s="1056"/>
      <c r="AC13" s="1056"/>
      <c r="AD13" s="1056"/>
      <c r="AE13" s="1056"/>
      <c r="AF13" s="1056"/>
      <c r="AG13" s="1056"/>
      <c r="AH13" s="1056"/>
      <c r="AI13" s="1056"/>
      <c r="AJ13" s="1056"/>
      <c r="AK13" s="1056"/>
      <c r="AN13" s="22"/>
      <c r="AT13" s="19"/>
    </row>
    <row r="14" spans="1:47" ht="6" customHeight="1">
      <c r="A14" s="54"/>
      <c r="N14" s="1506"/>
      <c r="O14" s="1506"/>
      <c r="P14" s="1506"/>
      <c r="Q14" s="1506"/>
      <c r="R14" s="1506"/>
      <c r="S14" s="1506"/>
      <c r="T14" s="1507"/>
      <c r="V14" s="4"/>
      <c r="W14" s="1056"/>
      <c r="X14" s="1056"/>
      <c r="Y14" s="1056"/>
      <c r="Z14" s="1056"/>
      <c r="AA14" s="1056"/>
      <c r="AB14" s="1056"/>
      <c r="AC14" s="1056"/>
      <c r="AD14" s="1056"/>
      <c r="AE14" s="1056"/>
      <c r="AF14" s="1056"/>
      <c r="AG14" s="1056"/>
      <c r="AH14" s="1056"/>
      <c r="AI14" s="1056"/>
      <c r="AJ14" s="1056"/>
      <c r="AK14" s="1056"/>
      <c r="AL14" s="4"/>
      <c r="AM14" s="4"/>
      <c r="AN14" s="4"/>
      <c r="AO14" s="4"/>
      <c r="AT14" s="19"/>
    </row>
    <row r="15" spans="1:47" ht="24" customHeight="1">
      <c r="A15" s="52"/>
      <c r="B15" s="4" t="s">
        <v>477</v>
      </c>
      <c r="C15" s="8" t="s">
        <v>854</v>
      </c>
      <c r="H15" s="142"/>
      <c r="I15" s="1393"/>
      <c r="J15" s="1472"/>
      <c r="K15" s="8" t="s">
        <v>538</v>
      </c>
      <c r="N15" s="1506"/>
      <c r="O15" s="1506"/>
      <c r="P15" s="1506"/>
      <c r="Q15" s="1506"/>
      <c r="R15" s="1506"/>
      <c r="S15" s="1506"/>
      <c r="T15" s="1507"/>
      <c r="V15" s="4"/>
      <c r="W15" s="1497"/>
      <c r="X15" s="1498"/>
      <c r="Y15" s="4" t="s">
        <v>31</v>
      </c>
      <c r="Z15" s="76" t="s">
        <v>25</v>
      </c>
      <c r="AA15" s="3" t="s">
        <v>1168</v>
      </c>
      <c r="AB15" s="75"/>
      <c r="AC15" s="59"/>
      <c r="AD15" s="59"/>
      <c r="AE15" s="76" t="s">
        <v>107</v>
      </c>
      <c r="AF15" s="967" t="str">
        <f>IF(ISBLANK(W15)," ",W15*7.5/12)</f>
        <v xml:space="preserve"> </v>
      </c>
      <c r="AG15" s="968"/>
      <c r="AH15" s="8" t="s">
        <v>591</v>
      </c>
      <c r="AK15" s="4"/>
      <c r="AL15" s="4"/>
      <c r="AM15" s="4"/>
      <c r="AN15" s="4"/>
      <c r="AO15" s="4"/>
      <c r="AT15" s="19"/>
    </row>
    <row r="16" spans="1:47" ht="6" customHeight="1">
      <c r="A16" s="776"/>
      <c r="B16" s="79"/>
      <c r="C16" s="79"/>
      <c r="D16" s="79"/>
      <c r="E16" s="79"/>
      <c r="F16" s="79"/>
      <c r="G16" s="79"/>
      <c r="H16" s="79"/>
      <c r="I16" s="79"/>
      <c r="J16" s="79"/>
      <c r="K16" s="79"/>
      <c r="L16" s="79"/>
      <c r="M16" s="79"/>
      <c r="N16" s="79"/>
      <c r="O16" s="79"/>
      <c r="P16" s="79"/>
      <c r="Q16" s="51"/>
      <c r="R16" s="51"/>
      <c r="S16" s="51"/>
      <c r="T16" s="605"/>
      <c r="V16" s="4"/>
      <c r="W16" s="4"/>
      <c r="AT16" s="19"/>
    </row>
    <row r="17" spans="1:46" ht="24" customHeight="1">
      <c r="A17" s="1504" t="s">
        <v>848</v>
      </c>
      <c r="B17" s="1134"/>
      <c r="C17" s="1134"/>
      <c r="D17" s="1134"/>
      <c r="E17" s="1134"/>
      <c r="F17" s="1134"/>
      <c r="G17" s="1134"/>
      <c r="H17" s="1134"/>
      <c r="I17" s="1134"/>
      <c r="J17" s="1134"/>
      <c r="K17" s="1134"/>
      <c r="L17" s="1134"/>
      <c r="M17" s="1134"/>
      <c r="N17" s="1134"/>
      <c r="O17" s="1134"/>
      <c r="P17" s="1134"/>
      <c r="Q17" s="1134"/>
      <c r="R17" s="1134"/>
      <c r="S17" s="1134"/>
      <c r="T17" s="1135"/>
      <c r="V17" s="4" t="s">
        <v>476</v>
      </c>
      <c r="W17" s="8" t="s">
        <v>507</v>
      </c>
      <c r="AA17" s="43"/>
      <c r="AB17" s="43"/>
      <c r="AC17" s="70"/>
      <c r="AE17" s="4"/>
      <c r="AF17" s="43"/>
      <c r="AG17" s="43"/>
      <c r="AH17" s="4"/>
      <c r="AL17" s="4"/>
      <c r="AM17" s="4"/>
      <c r="AN17" s="4"/>
      <c r="AO17" s="4"/>
      <c r="AT17" s="19"/>
    </row>
    <row r="18" spans="1:46" ht="18" customHeight="1">
      <c r="A18" s="71">
        <v>3</v>
      </c>
      <c r="B18" s="1056" t="s">
        <v>278</v>
      </c>
      <c r="C18" s="1056"/>
      <c r="D18" s="1056"/>
      <c r="E18" s="1056"/>
      <c r="F18" s="1056"/>
      <c r="G18" s="1056"/>
      <c r="H18" s="1056"/>
      <c r="I18" s="1056"/>
      <c r="J18" s="1056"/>
      <c r="K18" s="1056"/>
      <c r="L18" s="1056"/>
      <c r="M18" s="1056"/>
      <c r="N18" s="1056"/>
      <c r="O18" s="1056"/>
      <c r="P18" s="1056"/>
      <c r="Q18" s="1056"/>
      <c r="R18" s="1056"/>
      <c r="S18" s="1056"/>
      <c r="T18" s="55"/>
      <c r="V18" s="9"/>
      <c r="W18" s="7" t="s">
        <v>508</v>
      </c>
      <c r="AF18" s="1512"/>
      <c r="AG18" s="1513"/>
      <c r="AH18" s="8" t="s">
        <v>99</v>
      </c>
      <c r="AT18" s="19"/>
    </row>
    <row r="19" spans="1:46" ht="18" customHeight="1">
      <c r="A19" s="52"/>
      <c r="B19" s="1056"/>
      <c r="C19" s="1056"/>
      <c r="D19" s="1056"/>
      <c r="E19" s="1056"/>
      <c r="F19" s="1056"/>
      <c r="G19" s="1056"/>
      <c r="H19" s="1056"/>
      <c r="I19" s="1056"/>
      <c r="J19" s="1056"/>
      <c r="K19" s="1056"/>
      <c r="L19" s="1056"/>
      <c r="M19" s="1056"/>
      <c r="N19" s="1056"/>
      <c r="O19" s="1056"/>
      <c r="P19" s="1056"/>
      <c r="Q19" s="1056"/>
      <c r="R19" s="1056"/>
      <c r="S19" s="1056"/>
      <c r="T19" s="55"/>
      <c r="W19" s="7" t="s">
        <v>1319</v>
      </c>
      <c r="AD19" s="4"/>
      <c r="AE19" s="4"/>
      <c r="AH19" s="3"/>
      <c r="AI19" s="3"/>
      <c r="AJ19" s="3"/>
      <c r="AT19" s="19"/>
    </row>
    <row r="20" spans="1:46" ht="18" customHeight="1">
      <c r="A20" s="52"/>
      <c r="B20" s="8" t="s">
        <v>878</v>
      </c>
      <c r="Q20" s="8"/>
      <c r="R20" s="8"/>
      <c r="S20" s="8"/>
      <c r="T20" s="55"/>
      <c r="W20" s="998" t="str">
        <f>IF(ISBLANK(AF18)," ",(AF18))</f>
        <v xml:space="preserve"> </v>
      </c>
      <c r="X20" s="999"/>
      <c r="Y20" s="4" t="s">
        <v>99</v>
      </c>
      <c r="Z20" s="76" t="s">
        <v>106</v>
      </c>
      <c r="AA20" s="967" t="str">
        <f>IF(ISBLANK(I6),"",MAX(I13,AF15))</f>
        <v/>
      </c>
      <c r="AB20" s="968"/>
      <c r="AC20" s="8" t="s">
        <v>1170</v>
      </c>
      <c r="AF20" s="967" t="str">
        <f>IF(ISBLANK(AF18)," ",(W20*AA20))</f>
        <v xml:space="preserve"> </v>
      </c>
      <c r="AG20" s="968"/>
      <c r="AH20" s="8" t="s">
        <v>101</v>
      </c>
      <c r="AT20" s="19"/>
    </row>
    <row r="21" spans="1:46" ht="24" customHeight="1">
      <c r="A21" s="54"/>
      <c r="B21" s="22" t="s">
        <v>314</v>
      </c>
      <c r="C21" s="1060"/>
      <c r="D21" s="1062"/>
      <c r="E21" s="76" t="s">
        <v>561</v>
      </c>
      <c r="F21" s="8" t="s">
        <v>592</v>
      </c>
      <c r="H21" s="967" t="str">
        <f>IF(ISBLANK(C21), " ", MAX(I13,AF15))</f>
        <v xml:space="preserve"> </v>
      </c>
      <c r="I21" s="968"/>
      <c r="J21" s="8" t="s">
        <v>157</v>
      </c>
      <c r="M21" s="76" t="s">
        <v>107</v>
      </c>
      <c r="N21" s="961" t="str">
        <f>IF(ISBLANK(C21)," ",((C21+2)*H21))</f>
        <v xml:space="preserve"> </v>
      </c>
      <c r="O21" s="962"/>
      <c r="P21" s="8" t="s">
        <v>101</v>
      </c>
      <c r="Q21" s="8"/>
      <c r="R21" s="8"/>
      <c r="S21" s="8"/>
      <c r="T21" s="55"/>
      <c r="V21" s="9"/>
      <c r="AT21" s="19"/>
    </row>
    <row r="22" spans="1:46" ht="18" customHeight="1">
      <c r="A22" s="71">
        <v>4</v>
      </c>
      <c r="B22" s="1056" t="s">
        <v>1153</v>
      </c>
      <c r="C22" s="1056"/>
      <c r="D22" s="1056"/>
      <c r="E22" s="1056"/>
      <c r="F22" s="1056"/>
      <c r="G22" s="1056"/>
      <c r="H22" s="1056"/>
      <c r="I22" s="1056"/>
      <c r="J22" s="1056"/>
      <c r="K22" s="1056"/>
      <c r="L22" s="1056"/>
      <c r="M22" s="1056"/>
      <c r="T22" s="125"/>
      <c r="V22" s="9"/>
      <c r="AT22" s="19"/>
    </row>
    <row r="23" spans="1:46" ht="24" customHeight="1">
      <c r="A23" s="52"/>
      <c r="B23" s="7" t="s">
        <v>298</v>
      </c>
      <c r="C23" s="246"/>
      <c r="D23" s="246"/>
      <c r="E23" s="246"/>
      <c r="F23" s="246"/>
      <c r="G23" s="246"/>
      <c r="H23" s="246"/>
      <c r="I23" s="246"/>
      <c r="J23" s="246"/>
      <c r="K23" s="246"/>
      <c r="L23" s="246"/>
      <c r="M23" s="246"/>
      <c r="N23" s="961" t="str">
        <f>IF(ISBLANK(C21)," ",MAX('Pres. Dist.'!G70,'Non-Level Pres. Dist.'!K189))</f>
        <v xml:space="preserve"> </v>
      </c>
      <c r="O23" s="962"/>
      <c r="P23" s="8" t="s">
        <v>1184</v>
      </c>
      <c r="Q23" s="8"/>
      <c r="S23" s="8"/>
      <c r="T23" s="55"/>
      <c r="V23" s="9"/>
      <c r="W23" s="4"/>
      <c r="AT23" s="19"/>
    </row>
    <row r="24" spans="1:46" ht="18" customHeight="1">
      <c r="A24" s="71">
        <v>5</v>
      </c>
      <c r="B24" s="8" t="s">
        <v>510</v>
      </c>
      <c r="Q24" s="8"/>
      <c r="R24" s="8"/>
      <c r="S24" s="8"/>
      <c r="T24" s="55"/>
      <c r="V24" s="9"/>
      <c r="W24" s="4"/>
      <c r="AT24" s="19"/>
    </row>
    <row r="25" spans="1:46" ht="24" customHeight="1">
      <c r="A25" s="71"/>
      <c r="B25" s="8" t="s">
        <v>316</v>
      </c>
      <c r="E25" s="998" t="str">
        <f>IF(ISBLANK('Design Summary'!D9)," ",'Design Summary'!D9)</f>
        <v xml:space="preserve"> </v>
      </c>
      <c r="F25" s="999"/>
      <c r="G25" s="4" t="s">
        <v>317</v>
      </c>
      <c r="H25" s="76" t="s">
        <v>106</v>
      </c>
      <c r="I25" s="1141">
        <v>0.25</v>
      </c>
      <c r="J25" s="1141"/>
      <c r="K25" s="76" t="s">
        <v>107</v>
      </c>
      <c r="N25" s="961" t="str">
        <f>IF(ISBLANK(C21)," ",(E25*0.25))</f>
        <v xml:space="preserve"> </v>
      </c>
      <c r="O25" s="962"/>
      <c r="P25" s="8" t="s">
        <v>1183</v>
      </c>
      <c r="Q25" s="35"/>
      <c r="R25" s="35"/>
      <c r="T25" s="125"/>
      <c r="V25" s="4"/>
      <c r="W25" s="4"/>
      <c r="AT25" s="19"/>
    </row>
    <row r="26" spans="1:46" ht="6" customHeight="1">
      <c r="A26" s="71"/>
      <c r="B26" s="36"/>
      <c r="C26" s="36"/>
      <c r="D26" s="36"/>
      <c r="E26" s="36"/>
      <c r="F26" s="36"/>
      <c r="G26" s="36"/>
      <c r="H26" s="36"/>
      <c r="I26" s="36"/>
      <c r="J26" s="36"/>
      <c r="K26" s="36"/>
      <c r="L26" s="36"/>
      <c r="M26" s="36"/>
      <c r="N26" s="36"/>
      <c r="O26" s="36"/>
      <c r="P26" s="36"/>
      <c r="Q26" s="8"/>
      <c r="R26" s="8"/>
      <c r="S26" s="8"/>
      <c r="T26" s="55"/>
      <c r="V26" s="4"/>
      <c r="W26" s="4"/>
      <c r="X26" s="10"/>
      <c r="Y26" s="10"/>
      <c r="Z26" s="10"/>
      <c r="AA26" s="10"/>
      <c r="AB26" s="10"/>
      <c r="AC26" s="10"/>
      <c r="AD26" s="10"/>
      <c r="AE26" s="10"/>
      <c r="AF26" s="10"/>
      <c r="AT26" s="19"/>
    </row>
    <row r="27" spans="1:46" ht="6" customHeight="1">
      <c r="A27" s="824"/>
      <c r="B27" s="57"/>
      <c r="C27" s="57"/>
      <c r="D27" s="57"/>
      <c r="E27" s="146"/>
      <c r="F27" s="57"/>
      <c r="G27" s="57"/>
      <c r="H27" s="57"/>
      <c r="I27" s="57"/>
      <c r="J27" s="57"/>
      <c r="K27" s="57"/>
      <c r="L27" s="57"/>
      <c r="M27" s="57"/>
      <c r="N27" s="57"/>
      <c r="O27" s="825"/>
      <c r="P27" s="57"/>
      <c r="Q27" s="57"/>
      <c r="R27" s="57"/>
      <c r="S27" s="57"/>
      <c r="T27" s="826"/>
      <c r="AT27" s="19"/>
    </row>
    <row r="28" spans="1:46" ht="24" customHeight="1">
      <c r="A28" s="71">
        <v>6</v>
      </c>
      <c r="B28" s="1397" t="s">
        <v>1174</v>
      </c>
      <c r="C28" s="1397"/>
      <c r="D28" s="1397"/>
      <c r="E28" s="1397"/>
      <c r="F28" s="1397"/>
      <c r="G28" s="1397"/>
      <c r="H28" s="1397"/>
      <c r="I28" s="1397"/>
      <c r="J28" s="1397"/>
      <c r="K28" s="1060"/>
      <c r="L28" s="1062"/>
      <c r="M28" s="8" t="s">
        <v>101</v>
      </c>
      <c r="Q28" s="8"/>
      <c r="R28" s="8"/>
      <c r="S28" s="8"/>
      <c r="T28" s="55"/>
      <c r="AT28" s="19"/>
    </row>
    <row r="29" spans="1:46" ht="18" customHeight="1">
      <c r="A29" s="71">
        <v>7</v>
      </c>
      <c r="B29" s="8" t="s">
        <v>1150</v>
      </c>
      <c r="Q29" s="8"/>
      <c r="R29" s="8"/>
      <c r="S29" s="8"/>
      <c r="T29" s="125"/>
      <c r="AT29" s="19"/>
    </row>
    <row r="30" spans="1:46" ht="24" customHeight="1">
      <c r="A30" s="71"/>
      <c r="C30" s="998" t="str">
        <f>IF(ISBLANK(E25)," ",E25)</f>
        <v xml:space="preserve"> </v>
      </c>
      <c r="D30" s="999"/>
      <c r="E30" s="1508" t="s">
        <v>551</v>
      </c>
      <c r="F30" s="1509"/>
      <c r="G30" s="998" t="str">
        <f>IF(ISBLANK(K28)," ",K28)</f>
        <v xml:space="preserve"> </v>
      </c>
      <c r="H30" s="999"/>
      <c r="I30" s="1508" t="s">
        <v>1171</v>
      </c>
      <c r="J30" s="1510"/>
      <c r="K30" s="1197" t="str">
        <f>IF(ISBLANK(C21)," ",ROUNDDOWN((C30/G30),0))</f>
        <v xml:space="preserve"> </v>
      </c>
      <c r="L30" s="1501"/>
      <c r="M30" s="7" t="s">
        <v>562</v>
      </c>
      <c r="O30" s="35"/>
      <c r="P30" s="35"/>
      <c r="Q30" s="44"/>
      <c r="R30" s="44"/>
      <c r="S30" s="137"/>
      <c r="T30" s="125"/>
      <c r="AT30" s="19"/>
    </row>
    <row r="31" spans="1:46" ht="19.899999999999999" customHeight="1">
      <c r="A31" s="71">
        <v>8</v>
      </c>
      <c r="B31" s="8" t="s">
        <v>26</v>
      </c>
      <c r="I31" s="35"/>
      <c r="J31" s="9"/>
      <c r="K31" s="35"/>
      <c r="L31" s="4"/>
      <c r="M31" s="44"/>
      <c r="N31" s="7"/>
      <c r="Q31" s="8"/>
      <c r="R31" s="8"/>
      <c r="S31" s="8"/>
      <c r="T31" s="55"/>
      <c r="AT31" s="19"/>
    </row>
    <row r="32" spans="1:46" ht="24" customHeight="1">
      <c r="A32" s="71"/>
      <c r="B32" s="8" t="s">
        <v>154</v>
      </c>
      <c r="C32" s="7" t="s">
        <v>511</v>
      </c>
      <c r="J32" s="998" t="str">
        <f>IF(ISBLANK(K28),"",('Pump-Basic (1) '!F28))</f>
        <v/>
      </c>
      <c r="K32" s="999"/>
      <c r="L32" s="8" t="s">
        <v>538</v>
      </c>
      <c r="Q32" s="8"/>
      <c r="R32" s="8"/>
      <c r="S32" s="8"/>
      <c r="T32" s="55"/>
      <c r="AT32" s="19"/>
    </row>
    <row r="33" spans="1:46" ht="6" customHeight="1">
      <c r="A33" s="71"/>
      <c r="C33" s="7"/>
      <c r="H33" s="35"/>
      <c r="I33" s="35"/>
      <c r="J33" s="18"/>
      <c r="Q33" s="35"/>
      <c r="R33" s="35"/>
      <c r="S33" s="18"/>
      <c r="T33" s="55"/>
      <c r="AT33" s="19"/>
    </row>
    <row r="34" spans="1:46" ht="24" customHeight="1">
      <c r="A34" s="71"/>
      <c r="B34" s="8" t="s">
        <v>527</v>
      </c>
      <c r="C34" s="8" t="s">
        <v>27</v>
      </c>
      <c r="J34" s="961" t="str">
        <f>IF(ISBLANK(K28),"",'Pump-Basic (1) '!F30)</f>
        <v/>
      </c>
      <c r="K34" s="999"/>
      <c r="L34" s="8" t="s">
        <v>525</v>
      </c>
      <c r="Q34" s="35"/>
      <c r="R34" s="35"/>
      <c r="S34" s="18"/>
      <c r="T34" s="55"/>
      <c r="AT34" s="19"/>
    </row>
    <row r="35" spans="1:46" ht="6" customHeight="1">
      <c r="A35" s="71"/>
      <c r="C35" s="224"/>
      <c r="D35" s="224"/>
      <c r="E35" s="76"/>
      <c r="F35" s="224"/>
      <c r="G35" s="224"/>
      <c r="H35" s="227"/>
      <c r="J35" s="266"/>
      <c r="K35" s="267"/>
      <c r="N35" s="7"/>
      <c r="Q35" s="8"/>
      <c r="R35" s="8"/>
      <c r="S35" s="8"/>
      <c r="T35" s="55"/>
      <c r="AT35" s="19"/>
    </row>
    <row r="36" spans="1:46" ht="24" customHeight="1">
      <c r="A36" s="71"/>
      <c r="B36" s="8" t="s">
        <v>156</v>
      </c>
      <c r="C36" s="7" t="s">
        <v>512</v>
      </c>
      <c r="H36" s="227"/>
      <c r="I36" s="224"/>
      <c r="J36" s="1502" t="str">
        <f>IF(ISBLANK(C21)," ",IF(J32=1,"0.045",IF(J32=1.25,"0.078",IF(J32=1.5,"0.110",IF(J32=2,"0.170",IF(J32=3,"0.380"))))))</f>
        <v xml:space="preserve"> </v>
      </c>
      <c r="K36" s="1503"/>
      <c r="L36" s="8" t="s">
        <v>559</v>
      </c>
      <c r="M36" s="44"/>
      <c r="N36" s="7"/>
      <c r="Q36" s="8"/>
      <c r="R36" s="8"/>
      <c r="S36" s="8"/>
      <c r="T36" s="55"/>
      <c r="AT36" s="19"/>
    </row>
    <row r="37" spans="1:46" ht="18" customHeight="1">
      <c r="A37" s="71"/>
      <c r="B37" s="8" t="s">
        <v>476</v>
      </c>
      <c r="C37" s="7" t="s">
        <v>513</v>
      </c>
      <c r="I37" s="35"/>
      <c r="J37" s="9"/>
      <c r="K37" s="9"/>
      <c r="L37" s="4"/>
      <c r="M37" s="44"/>
      <c r="N37" s="7"/>
      <c r="Q37" s="8"/>
      <c r="R37" s="8"/>
      <c r="S37" s="8"/>
      <c r="T37" s="55"/>
      <c r="AH37" s="13"/>
      <c r="AI37" s="13"/>
      <c r="AK37" s="6"/>
      <c r="AL37" s="6"/>
      <c r="AT37" s="19"/>
    </row>
    <row r="38" spans="1:46" ht="24" customHeight="1">
      <c r="A38" s="71"/>
      <c r="C38" s="998" t="str">
        <f>IF(ISBLANK(J32),"",J34)</f>
        <v/>
      </c>
      <c r="D38" s="999"/>
      <c r="E38" s="76" t="s">
        <v>127</v>
      </c>
      <c r="F38" s="998" t="str">
        <f>J36</f>
        <v xml:space="preserve"> </v>
      </c>
      <c r="G38" s="999"/>
      <c r="H38" s="227" t="s">
        <v>1172</v>
      </c>
      <c r="J38" s="967" t="str">
        <f>IF(ISBLANK(C21),"",C38*F38)</f>
        <v/>
      </c>
      <c r="K38" s="1500"/>
      <c r="L38" s="8" t="s">
        <v>101</v>
      </c>
      <c r="N38" s="7"/>
      <c r="Q38" s="8"/>
      <c r="R38" s="8"/>
      <c r="S38" s="8"/>
      <c r="T38" s="55"/>
      <c r="AT38" s="19"/>
    </row>
    <row r="39" spans="1:46" ht="18" customHeight="1">
      <c r="A39" s="71" t="s">
        <v>104</v>
      </c>
      <c r="B39" s="7" t="s">
        <v>1151</v>
      </c>
      <c r="I39" s="35"/>
      <c r="J39" s="9"/>
      <c r="K39" s="35"/>
      <c r="L39" s="4"/>
      <c r="M39" s="44"/>
      <c r="N39" s="7"/>
      <c r="Q39" s="8"/>
      <c r="R39" s="8"/>
      <c r="S39" s="8"/>
      <c r="T39" s="55"/>
      <c r="AT39" s="19"/>
    </row>
    <row r="40" spans="1:46" ht="24" customHeight="1">
      <c r="A40" s="71"/>
      <c r="C40" s="998" t="str">
        <f>IF(ISBLANK(K28), " ", K28)</f>
        <v xml:space="preserve"> </v>
      </c>
      <c r="D40" s="999"/>
      <c r="E40" s="76" t="s">
        <v>564</v>
      </c>
      <c r="F40" s="967" t="str">
        <f>J38</f>
        <v/>
      </c>
      <c r="G40" s="999"/>
      <c r="H40" s="76" t="s">
        <v>565</v>
      </c>
      <c r="I40" s="961" t="str">
        <f>IF(ISBLANK(C21),"",C40+F40)</f>
        <v/>
      </c>
      <c r="J40" s="962"/>
      <c r="K40" s="8" t="s">
        <v>101</v>
      </c>
      <c r="L40" s="4"/>
      <c r="M40" s="44"/>
      <c r="N40" s="7"/>
      <c r="Q40" s="8"/>
      <c r="R40" s="8"/>
      <c r="S40" s="8"/>
      <c r="T40" s="55"/>
      <c r="AT40" s="19"/>
    </row>
    <row r="41" spans="1:46" ht="18" customHeight="1">
      <c r="A41" s="71" t="s">
        <v>108</v>
      </c>
      <c r="B41" s="8" t="s">
        <v>849</v>
      </c>
      <c r="C41" s="188"/>
      <c r="D41" s="188"/>
      <c r="E41" s="76"/>
      <c r="F41" s="142"/>
      <c r="G41" s="188"/>
      <c r="H41" s="76"/>
      <c r="I41" s="142"/>
      <c r="J41" s="142"/>
      <c r="L41" s="4"/>
      <c r="M41" s="44"/>
      <c r="N41" s="7"/>
      <c r="Q41" s="8"/>
      <c r="R41" s="8"/>
      <c r="S41" s="8"/>
      <c r="T41" s="55"/>
      <c r="AH41" s="13"/>
      <c r="AI41" s="13"/>
      <c r="AK41" s="6"/>
      <c r="AL41" s="6"/>
      <c r="AT41" s="19"/>
    </row>
    <row r="42" spans="1:46" ht="24" customHeight="1">
      <c r="A42" s="71"/>
      <c r="C42" s="1060"/>
      <c r="D42" s="1062"/>
      <c r="E42" s="227" t="s">
        <v>296</v>
      </c>
      <c r="F42" s="967" t="str">
        <f>IF(ISBLANK(C21), " ", MAX(I13,AF15))</f>
        <v xml:space="preserve"> </v>
      </c>
      <c r="G42" s="1414"/>
      <c r="H42" s="227" t="s">
        <v>1173</v>
      </c>
      <c r="J42" s="967" t="str">
        <f>IF(ISBLANK(C42), "",C42*F42)</f>
        <v/>
      </c>
      <c r="K42" s="1414"/>
      <c r="L42" s="8" t="s">
        <v>101</v>
      </c>
      <c r="Q42" s="8"/>
      <c r="R42" s="8"/>
      <c r="S42" s="8"/>
      <c r="T42" s="55"/>
      <c r="AH42" s="13"/>
      <c r="AI42" s="13"/>
      <c r="AK42" s="6"/>
      <c r="AL42" s="6"/>
      <c r="AT42" s="19"/>
    </row>
    <row r="43" spans="1:46" ht="6" customHeight="1">
      <c r="A43" s="471"/>
      <c r="B43" s="79"/>
      <c r="C43" s="203"/>
      <c r="D43" s="203"/>
      <c r="E43" s="827"/>
      <c r="F43" s="828"/>
      <c r="G43" s="203"/>
      <c r="H43" s="827"/>
      <c r="I43" s="828"/>
      <c r="J43" s="828"/>
      <c r="K43" s="79"/>
      <c r="L43" s="51"/>
      <c r="M43" s="829"/>
      <c r="N43" s="830"/>
      <c r="O43" s="79"/>
      <c r="P43" s="79"/>
      <c r="Q43" s="79"/>
      <c r="R43" s="79"/>
      <c r="S43" s="79"/>
      <c r="T43" s="132"/>
      <c r="AH43" s="13"/>
      <c r="AI43" s="13"/>
      <c r="AK43" s="6"/>
      <c r="AL43" s="6"/>
      <c r="AT43" s="19"/>
    </row>
    <row r="44" spans="1:46" ht="18" customHeight="1">
      <c r="A44" s="773" t="s">
        <v>1253</v>
      </c>
      <c r="B44" s="387"/>
      <c r="C44" s="387"/>
      <c r="D44" s="387"/>
      <c r="E44" s="387"/>
      <c r="F44" s="387"/>
      <c r="G44" s="387"/>
      <c r="H44" s="387"/>
      <c r="I44" s="387"/>
      <c r="J44" s="387"/>
      <c r="K44" s="387"/>
      <c r="L44" s="387"/>
      <c r="M44" s="387"/>
      <c r="N44" s="387"/>
      <c r="O44" s="387"/>
      <c r="P44" s="387"/>
      <c r="Q44" s="387"/>
      <c r="R44" s="387"/>
      <c r="S44" s="387"/>
      <c r="T44" s="772"/>
    </row>
    <row r="45" spans="1:46" ht="18" customHeight="1">
      <c r="A45" s="139" t="s">
        <v>110</v>
      </c>
      <c r="B45" s="8" t="s">
        <v>520</v>
      </c>
      <c r="E45" s="4"/>
      <c r="Q45" s="8"/>
      <c r="R45" s="8"/>
      <c r="S45" s="8"/>
      <c r="T45" s="55"/>
    </row>
    <row r="46" spans="1:46" ht="19.899999999999999" customHeight="1">
      <c r="A46" s="127" t="s">
        <v>154</v>
      </c>
      <c r="B46" s="8" t="s">
        <v>1219</v>
      </c>
      <c r="C46" s="10"/>
      <c r="D46" s="10"/>
      <c r="E46" s="10"/>
      <c r="F46" s="10"/>
      <c r="G46" s="134"/>
      <c r="K46" s="961" t="str">
        <f>'Pres. Dist.'!L58</f>
        <v xml:space="preserve"> </v>
      </c>
      <c r="L46" s="1396"/>
      <c r="M46" s="4" t="s">
        <v>141</v>
      </c>
      <c r="Q46" s="1514" t="s">
        <v>1176</v>
      </c>
      <c r="R46" s="1514"/>
      <c r="S46" s="1514"/>
      <c r="T46" s="777"/>
    </row>
    <row r="47" spans="1:46" ht="18" customHeight="1">
      <c r="A47" s="127" t="s">
        <v>527</v>
      </c>
      <c r="B47" s="8" t="s">
        <v>850</v>
      </c>
      <c r="C47" s="10"/>
      <c r="D47" s="10"/>
      <c r="E47" s="10"/>
      <c r="F47" s="10"/>
      <c r="G47" s="10"/>
      <c r="H47" s="10"/>
      <c r="I47" s="10"/>
      <c r="J47" s="10"/>
      <c r="K47" s="10"/>
      <c r="O47" s="769"/>
      <c r="Q47" s="1514"/>
      <c r="R47" s="1514"/>
      <c r="S47" s="1514"/>
      <c r="T47" s="777"/>
    </row>
    <row r="48" spans="1:46" ht="24" customHeight="1">
      <c r="A48" s="140"/>
      <c r="C48" s="1060"/>
      <c r="D48" s="1062"/>
      <c r="E48" s="1182" t="s">
        <v>251</v>
      </c>
      <c r="F48" s="1142"/>
      <c r="G48" s="967" t="str">
        <f>IF(ISBLANK(C21),"",I13)</f>
        <v/>
      </c>
      <c r="H48" s="968"/>
      <c r="I48" s="1141" t="s">
        <v>252</v>
      </c>
      <c r="J48" s="1142"/>
      <c r="K48" s="1060"/>
      <c r="L48" s="1062"/>
      <c r="M48" s="4" t="s">
        <v>253</v>
      </c>
      <c r="N48" s="967" t="str">
        <f>IF(ISBLANK(C21),"",(C48*(G48/K48)))</f>
        <v/>
      </c>
      <c r="O48" s="968"/>
      <c r="P48" s="4" t="s">
        <v>141</v>
      </c>
      <c r="Q48" s="1514"/>
      <c r="R48" s="1514"/>
      <c r="S48" s="1514"/>
      <c r="T48" s="55"/>
    </row>
    <row r="49" spans="1:20" ht="6" customHeight="1">
      <c r="A49" s="140"/>
      <c r="E49" s="4"/>
      <c r="O49" s="769"/>
      <c r="Q49" s="1514"/>
      <c r="R49" s="1514"/>
      <c r="S49" s="1514"/>
      <c r="T49" s="55"/>
    </row>
    <row r="50" spans="1:20" ht="24" customHeight="1">
      <c r="A50" s="139" t="s">
        <v>115</v>
      </c>
      <c r="B50" s="8" t="s">
        <v>1202</v>
      </c>
      <c r="D50" s="4"/>
      <c r="E50" s="4"/>
      <c r="G50" s="961" t="str">
        <f>K46</f>
        <v xml:space="preserve"> </v>
      </c>
      <c r="H50" s="962"/>
      <c r="I50" s="4" t="s">
        <v>141</v>
      </c>
      <c r="Q50" s="1514"/>
      <c r="R50" s="1514"/>
      <c r="S50" s="1514"/>
      <c r="T50" s="55"/>
    </row>
    <row r="51" spans="1:20" ht="19.899999999999999" customHeight="1">
      <c r="A51" s="139" t="s">
        <v>116</v>
      </c>
      <c r="B51" s="8" t="s">
        <v>521</v>
      </c>
      <c r="E51" s="4"/>
      <c r="Q51" s="8"/>
      <c r="R51" s="8"/>
      <c r="S51" s="8"/>
      <c r="T51" s="55"/>
    </row>
    <row r="52" spans="1:20" ht="18" customHeight="1">
      <c r="A52" s="140"/>
      <c r="B52" s="7" t="s">
        <v>851</v>
      </c>
      <c r="E52" s="4"/>
      <c r="O52" s="48"/>
      <c r="Q52" s="8"/>
      <c r="R52" s="8"/>
      <c r="S52" s="8"/>
      <c r="T52" s="55"/>
    </row>
    <row r="53" spans="1:20" ht="24" customHeight="1">
      <c r="A53" s="140"/>
      <c r="B53" s="961" t="str">
        <f>I40</f>
        <v/>
      </c>
      <c r="C53" s="962"/>
      <c r="D53" s="1516" t="s">
        <v>254</v>
      </c>
      <c r="E53" s="1517"/>
      <c r="F53" s="967" t="str">
        <f>IF(ISBLANK(G50)," ",G50)</f>
        <v xml:space="preserve"> </v>
      </c>
      <c r="G53" s="968"/>
      <c r="H53" s="1515" t="s">
        <v>255</v>
      </c>
      <c r="I53" s="1516"/>
      <c r="J53" s="967" t="str">
        <f>IF(ISBLANK(C21),"",B53/F53)</f>
        <v/>
      </c>
      <c r="K53" s="968"/>
      <c r="L53" s="8" t="s">
        <v>318</v>
      </c>
      <c r="Q53" s="8"/>
      <c r="R53" s="8"/>
      <c r="S53" s="8"/>
      <c r="T53" s="55"/>
    </row>
    <row r="54" spans="1:20" ht="18" customHeight="1">
      <c r="A54" s="139" t="s">
        <v>122</v>
      </c>
      <c r="B54" s="8" t="s">
        <v>522</v>
      </c>
      <c r="E54" s="4"/>
      <c r="Q54" s="8"/>
      <c r="R54" s="8"/>
      <c r="S54" s="8"/>
      <c r="T54" s="55"/>
    </row>
    <row r="55" spans="1:20" ht="18" customHeight="1">
      <c r="A55" s="140"/>
      <c r="B55" s="8" t="s">
        <v>852</v>
      </c>
      <c r="E55" s="4"/>
      <c r="Q55" s="8"/>
      <c r="R55" s="8"/>
      <c r="S55" s="8"/>
      <c r="T55" s="55"/>
    </row>
    <row r="56" spans="1:20" ht="24" customHeight="1">
      <c r="A56" s="140"/>
      <c r="B56" s="1141" t="s">
        <v>256</v>
      </c>
      <c r="C56" s="1141"/>
      <c r="D56" s="226" t="s">
        <v>613</v>
      </c>
      <c r="E56" s="961" t="str">
        <f>K30</f>
        <v xml:space="preserve"> </v>
      </c>
      <c r="F56" s="962"/>
      <c r="G56" s="237" t="s">
        <v>257</v>
      </c>
      <c r="I56" s="967" t="str">
        <f>IF(ISBLANK(G50)," ",J53)</f>
        <v/>
      </c>
      <c r="J56" s="1500"/>
      <c r="K56" s="8" t="s">
        <v>258</v>
      </c>
      <c r="L56" s="76" t="s">
        <v>107</v>
      </c>
      <c r="M56" s="967" t="str">
        <f>IF(ISBLANK(C21),"",(1440/E56-J53))</f>
        <v/>
      </c>
      <c r="N56" s="1414"/>
      <c r="O56" s="8" t="s">
        <v>320</v>
      </c>
      <c r="Q56" s="8"/>
      <c r="R56" s="8"/>
      <c r="S56" s="8"/>
      <c r="T56" s="55"/>
    </row>
    <row r="57" spans="1:20" ht="19.5" customHeight="1" thickBot="1">
      <c r="A57" s="139" t="s">
        <v>130</v>
      </c>
      <c r="B57" s="8" t="s">
        <v>292</v>
      </c>
      <c r="E57" s="4"/>
      <c r="N57" s="36"/>
      <c r="O57" s="48" t="s">
        <v>30</v>
      </c>
      <c r="P57" s="612" t="str">
        <f>IF(ISBLANK(F62), "", J62)</f>
        <v/>
      </c>
      <c r="Q57" s="8" t="s">
        <v>99</v>
      </c>
      <c r="R57" s="8"/>
      <c r="S57" s="8"/>
      <c r="T57" s="55"/>
    </row>
    <row r="58" spans="1:20" ht="19.5" customHeight="1">
      <c r="A58" s="54"/>
      <c r="B58" s="7" t="s">
        <v>856</v>
      </c>
      <c r="C58" s="36"/>
      <c r="D58" s="36"/>
      <c r="E58" s="36"/>
      <c r="F58" s="36"/>
      <c r="G58" s="36"/>
      <c r="H58" s="36"/>
      <c r="I58" s="36"/>
      <c r="J58" s="36"/>
      <c r="K58" s="36"/>
      <c r="L58" s="36"/>
      <c r="M58" s="36"/>
      <c r="Q58" s="8"/>
      <c r="R58" s="8"/>
      <c r="S58" s="8"/>
      <c r="T58" s="55"/>
    </row>
    <row r="59" spans="1:20" ht="24" customHeight="1">
      <c r="A59" s="54"/>
      <c r="B59" s="961" t="str">
        <f>N21</f>
        <v xml:space="preserve"> </v>
      </c>
      <c r="C59" s="999"/>
      <c r="E59" s="76" t="s">
        <v>254</v>
      </c>
      <c r="F59" s="967" t="str">
        <f>IF(ISBLANK(C21),"",I13)</f>
        <v/>
      </c>
      <c r="G59" s="968"/>
      <c r="H59" s="1515" t="s">
        <v>259</v>
      </c>
      <c r="I59" s="1516"/>
      <c r="J59" s="1517"/>
      <c r="K59" s="967" t="str">
        <f>IF(ISBLANK(C21),"",B59/F59)</f>
        <v/>
      </c>
      <c r="L59" s="968"/>
      <c r="M59" s="8" t="s">
        <v>151</v>
      </c>
      <c r="P59" s="34"/>
      <c r="Q59" s="141"/>
      <c r="R59" s="8"/>
      <c r="S59" s="8"/>
      <c r="T59" s="55"/>
    </row>
    <row r="60" spans="1:20" ht="17.25" customHeight="1" thickBot="1">
      <c r="A60" s="124" t="s">
        <v>132</v>
      </c>
      <c r="B60" s="8" t="s">
        <v>1315</v>
      </c>
      <c r="D60" s="76"/>
      <c r="E60" s="142"/>
      <c r="F60" s="142"/>
      <c r="G60" s="227"/>
      <c r="I60" s="164"/>
      <c r="J60" s="164"/>
      <c r="O60" s="22" t="s">
        <v>29</v>
      </c>
      <c r="P60" s="612" t="str">
        <f>K59</f>
        <v/>
      </c>
      <c r="Q60" s="1" t="s">
        <v>99</v>
      </c>
      <c r="R60" s="42" t="str">
        <f>I40</f>
        <v/>
      </c>
      <c r="S60" s="35" t="str">
        <f>"Gal"</f>
        <v>Gal</v>
      </c>
      <c r="T60" s="55"/>
    </row>
    <row r="61" spans="1:20" ht="24" customHeight="1">
      <c r="A61" s="54"/>
      <c r="B61" s="7" t="s">
        <v>1317</v>
      </c>
      <c r="C61" s="36"/>
      <c r="D61" s="76"/>
      <c r="E61" s="142"/>
      <c r="F61" s="142"/>
      <c r="G61" s="227"/>
      <c r="I61" s="164"/>
      <c r="J61" s="164"/>
      <c r="Q61" s="8"/>
      <c r="R61" s="42" t="str">
        <f>N21</f>
        <v xml:space="preserve"> </v>
      </c>
      <c r="S61" s="35" t="str">
        <f>"Gal"</f>
        <v>Gal</v>
      </c>
      <c r="T61" s="55"/>
    </row>
    <row r="62" spans="1:20" ht="24" customHeight="1">
      <c r="A62" s="54"/>
      <c r="B62" s="967" t="str">
        <f>IF(ISBLANK(C21),"",I15)</f>
        <v/>
      </c>
      <c r="C62" s="999"/>
      <c r="D62" s="1515" t="s">
        <v>296</v>
      </c>
      <c r="E62" s="1516"/>
      <c r="F62" s="1060"/>
      <c r="G62" s="1062"/>
      <c r="H62" s="1515" t="s">
        <v>107</v>
      </c>
      <c r="I62" s="1516"/>
      <c r="J62" s="998" t="str">
        <f>IF(ISBLANK(F62),"",B62*F62)</f>
        <v/>
      </c>
      <c r="K62" s="1500"/>
      <c r="L62" s="245" t="s">
        <v>99</v>
      </c>
      <c r="Q62" s="8"/>
      <c r="R62" s="8"/>
      <c r="S62" s="8"/>
      <c r="T62" s="55"/>
    </row>
    <row r="63" spans="1:20" ht="19.5" customHeight="1" thickBot="1">
      <c r="A63" s="885"/>
      <c r="B63" s="886"/>
      <c r="C63" s="886"/>
      <c r="D63" s="887"/>
      <c r="E63" s="888"/>
      <c r="F63" s="888"/>
      <c r="G63" s="887"/>
      <c r="H63" s="886"/>
      <c r="I63" s="889"/>
      <c r="J63" s="890"/>
      <c r="K63" s="883"/>
      <c r="L63" s="883"/>
      <c r="M63" s="883"/>
      <c r="N63" s="883"/>
      <c r="O63" s="883"/>
      <c r="P63" s="883"/>
      <c r="Q63" s="883"/>
      <c r="R63" s="883"/>
      <c r="S63" s="883"/>
      <c r="T63" s="884"/>
    </row>
    <row r="64" spans="1:20" ht="19.5" customHeight="1"/>
    <row r="65" spans="21:22" ht="18" customHeight="1"/>
    <row r="66" spans="21:22" ht="18" customHeight="1"/>
    <row r="67" spans="21:22" ht="18" customHeight="1"/>
    <row r="68" spans="21:22" ht="18" customHeight="1"/>
    <row r="69" spans="21:22" ht="18" customHeight="1"/>
    <row r="70" spans="21:22" ht="18" customHeight="1">
      <c r="U70" s="15"/>
      <c r="V70" s="15"/>
    </row>
    <row r="71" spans="21:22" ht="35.1" customHeight="1">
      <c r="U71" s="15"/>
      <c r="V71" s="15"/>
    </row>
    <row r="72" spans="21:22" ht="35.1" customHeight="1">
      <c r="U72" s="15"/>
      <c r="V72" s="15"/>
    </row>
    <row r="73" spans="21:22" ht="35.1" customHeight="1">
      <c r="U73" s="15"/>
      <c r="V73" s="15"/>
    </row>
    <row r="74" spans="21:22" ht="35.1" customHeight="1">
      <c r="U74" s="69"/>
      <c r="V74" s="1"/>
    </row>
    <row r="75" spans="21:22" ht="35.1" customHeight="1">
      <c r="U75" s="69"/>
      <c r="V75" s="1"/>
    </row>
    <row r="76" spans="21:22" ht="35.1" customHeight="1">
      <c r="U76" s="15"/>
      <c r="V76" s="1"/>
    </row>
  </sheetData>
  <sheetProtection sheet="1" objects="1" scenarios="1"/>
  <mergeCells count="81">
    <mergeCell ref="J62:K62"/>
    <mergeCell ref="F1:M1"/>
    <mergeCell ref="B2:K2"/>
    <mergeCell ref="L2:M2"/>
    <mergeCell ref="N2:O2"/>
    <mergeCell ref="I4:J4"/>
    <mergeCell ref="E25:F25"/>
    <mergeCell ref="I25:J25"/>
    <mergeCell ref="N25:O25"/>
    <mergeCell ref="C21:D21"/>
    <mergeCell ref="H21:I21"/>
    <mergeCell ref="N21:O21"/>
    <mergeCell ref="B22:M22"/>
    <mergeCell ref="N23:O23"/>
    <mergeCell ref="B28:J28"/>
    <mergeCell ref="K28:L28"/>
    <mergeCell ref="R6:S6"/>
    <mergeCell ref="W6:X6"/>
    <mergeCell ref="AA6:AB6"/>
    <mergeCell ref="AE6:AF6"/>
    <mergeCell ref="F9:J9"/>
    <mergeCell ref="N9:R9"/>
    <mergeCell ref="I6:J6"/>
    <mergeCell ref="AF18:AG18"/>
    <mergeCell ref="W20:X20"/>
    <mergeCell ref="AA20:AB20"/>
    <mergeCell ref="AF20:AG20"/>
    <mergeCell ref="I11:J11"/>
    <mergeCell ref="N11:T15"/>
    <mergeCell ref="Z11:AA11"/>
    <mergeCell ref="AE11:AF11"/>
    <mergeCell ref="I13:J13"/>
    <mergeCell ref="W13:AK14"/>
    <mergeCell ref="I15:J15"/>
    <mergeCell ref="W15:X15"/>
    <mergeCell ref="AF15:AG15"/>
    <mergeCell ref="A17:T17"/>
    <mergeCell ref="B18:S19"/>
    <mergeCell ref="C30:D30"/>
    <mergeCell ref="E30:F30"/>
    <mergeCell ref="G30:H30"/>
    <mergeCell ref="I30:J30"/>
    <mergeCell ref="K30:L30"/>
    <mergeCell ref="J32:K32"/>
    <mergeCell ref="J34:K34"/>
    <mergeCell ref="J36:K36"/>
    <mergeCell ref="C38:D38"/>
    <mergeCell ref="F38:G38"/>
    <mergeCell ref="J38:K38"/>
    <mergeCell ref="C40:D40"/>
    <mergeCell ref="F40:G40"/>
    <mergeCell ref="I40:J40"/>
    <mergeCell ref="C42:D42"/>
    <mergeCell ref="F42:G42"/>
    <mergeCell ref="J42:K42"/>
    <mergeCell ref="Q46:S50"/>
    <mergeCell ref="C48:D48"/>
    <mergeCell ref="E48:F48"/>
    <mergeCell ref="G48:H48"/>
    <mergeCell ref="I48:J48"/>
    <mergeCell ref="K48:L48"/>
    <mergeCell ref="N48:O48"/>
    <mergeCell ref="G50:H50"/>
    <mergeCell ref="J53:K53"/>
    <mergeCell ref="B56:C56"/>
    <mergeCell ref="E56:F56"/>
    <mergeCell ref="I56:J56"/>
    <mergeCell ref="K46:L46"/>
    <mergeCell ref="B62:C62"/>
    <mergeCell ref="B53:C53"/>
    <mergeCell ref="D53:E53"/>
    <mergeCell ref="F53:G53"/>
    <mergeCell ref="H53:I53"/>
    <mergeCell ref="D62:E62"/>
    <mergeCell ref="F62:G62"/>
    <mergeCell ref="H62:I62"/>
    <mergeCell ref="M56:N56"/>
    <mergeCell ref="B59:C59"/>
    <mergeCell ref="F59:G59"/>
    <mergeCell ref="H59:J59"/>
    <mergeCell ref="K59:L59"/>
  </mergeCells>
  <dataValidations count="3">
    <dataValidation type="list" allowBlank="1" showInputMessage="1" showErrorMessage="1" sqref="H33" xr:uid="{00000000-0002-0000-1100-000000000000}">
      <formula1>$AK$41:$AK$43</formula1>
    </dataValidation>
    <dataValidation type="whole" allowBlank="1" showInputMessage="1" showErrorMessage="1" error="Must be between Min and Max" sqref="K28:L28" xr:uid="{00000000-0002-0000-1100-000001000000}">
      <formula1>N23-1</formula1>
      <formula2>N25</formula2>
    </dataValidation>
    <dataValidation type="list" allowBlank="1" showInputMessage="1" sqref="C42:D42" xr:uid="{00000000-0002-0000-1100-000002000000}">
      <formula1>DepthAlarm</formula1>
    </dataValidation>
  </dataValidations>
  <printOptions horizontalCentered="1" verticalCentered="1"/>
  <pageMargins left="0.7" right="0.7" top="0.75" bottom="0.75" header="0.3" footer="0.3"/>
  <pageSetup scale="59" orientation="portrait" blackAndWhite="1" r:id="rId1"/>
  <ignoredErrors>
    <ignoredError sqref="I4" unlockedFormula="1"/>
  </ignoredError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6600"/>
  </sheetPr>
  <dimension ref="A1:AV128"/>
  <sheetViews>
    <sheetView showGridLines="0" showZeros="0" view="pageBreakPreview" zoomScaleNormal="100" zoomScaleSheetLayoutView="100" workbookViewId="0">
      <selection activeCell="Y28" sqref="Y28"/>
    </sheetView>
  </sheetViews>
  <sheetFormatPr defaultColWidth="6.7109375" defaultRowHeight="24.75" customHeight="1"/>
  <cols>
    <col min="1" max="1" width="3.7109375" style="18" customWidth="1"/>
    <col min="2" max="18" width="6.7109375" style="8" customWidth="1"/>
    <col min="19" max="19" width="6.7109375" style="4" customWidth="1"/>
    <col min="20" max="20" width="6.7109375" style="8" customWidth="1"/>
    <col min="21" max="21" width="6.28515625" style="8" customWidth="1"/>
    <col min="22" max="44" width="6.7109375" style="8"/>
    <col min="45" max="45" width="6.85546875" style="8" bestFit="1" customWidth="1"/>
    <col min="46" max="46" width="7" style="8" bestFit="1" customWidth="1"/>
    <col min="47" max="47" width="6.85546875" style="8" bestFit="1" customWidth="1"/>
    <col min="48" max="16384" width="6.7109375" style="8"/>
  </cols>
  <sheetData>
    <row r="1" spans="1:23" ht="63.75" customHeight="1">
      <c r="B1" s="216"/>
      <c r="C1" s="216"/>
      <c r="D1" s="216"/>
      <c r="F1" s="1162" t="s">
        <v>797</v>
      </c>
      <c r="G1" s="1162"/>
      <c r="H1" s="1162"/>
      <c r="I1" s="1162"/>
      <c r="J1" s="1162"/>
      <c r="K1" s="1162"/>
      <c r="L1" s="1162"/>
      <c r="M1" s="1162"/>
      <c r="N1" s="1162"/>
      <c r="O1" s="216"/>
      <c r="P1" s="217"/>
      <c r="Q1" s="217"/>
      <c r="R1" s="217"/>
      <c r="S1" s="217"/>
      <c r="T1" s="217"/>
    </row>
    <row r="2" spans="1:23" ht="16.350000000000001" customHeight="1">
      <c r="A2" s="401" t="s">
        <v>768</v>
      </c>
      <c r="B2" s="403" t="s">
        <v>769</v>
      </c>
      <c r="C2" s="402"/>
      <c r="D2" s="402"/>
      <c r="E2" s="402"/>
      <c r="F2" s="402"/>
      <c r="G2" s="402"/>
      <c r="H2" s="402"/>
      <c r="I2" s="1374" t="s">
        <v>832</v>
      </c>
      <c r="J2" s="1374"/>
      <c r="K2" s="1375" t="str">
        <f>IF(ISBLANK('Design Summary'!Q3)," ",'Design Summary'!Q3)</f>
        <v xml:space="preserve"> </v>
      </c>
      <c r="L2" s="1375"/>
      <c r="M2" s="402"/>
      <c r="N2" s="402"/>
      <c r="O2" s="402"/>
      <c r="P2" s="402"/>
      <c r="Q2" s="402"/>
      <c r="R2" s="402"/>
      <c r="S2" s="402"/>
      <c r="T2" s="404" t="str">
        <f>'Drop-Down Lists'!J40</f>
        <v>v 04.20.2016</v>
      </c>
      <c r="U2" s="68"/>
      <c r="V2" s="68"/>
      <c r="W2" s="68"/>
    </row>
    <row r="3" spans="1:23" ht="6" customHeight="1">
      <c r="A3" s="196"/>
      <c r="B3" s="68"/>
      <c r="C3" s="68"/>
      <c r="D3" s="68"/>
      <c r="E3" s="68"/>
      <c r="F3" s="68"/>
      <c r="G3" s="68"/>
      <c r="H3" s="68"/>
      <c r="I3" s="68"/>
      <c r="J3" s="68"/>
      <c r="K3" s="68"/>
      <c r="L3" s="68"/>
      <c r="M3" s="68"/>
      <c r="N3" s="68"/>
      <c r="O3" s="68"/>
      <c r="P3" s="68"/>
      <c r="Q3" s="68"/>
      <c r="R3" s="68"/>
      <c r="S3" s="68"/>
      <c r="T3" s="197"/>
      <c r="U3" s="68"/>
      <c r="V3" s="68"/>
      <c r="W3" s="68"/>
    </row>
    <row r="4" spans="1:23" ht="18" customHeight="1">
      <c r="A4" s="429"/>
      <c r="B4" s="1549" t="s">
        <v>0</v>
      </c>
      <c r="C4" s="1549"/>
      <c r="D4" s="1549"/>
      <c r="E4" s="1549"/>
      <c r="F4" s="1549"/>
      <c r="G4" s="1550"/>
      <c r="H4" s="1550"/>
      <c r="I4" s="430"/>
      <c r="J4" s="430"/>
      <c r="K4" s="430"/>
      <c r="L4" s="430"/>
      <c r="M4" s="430"/>
      <c r="N4" s="92"/>
      <c r="O4" s="430"/>
      <c r="P4" s="430"/>
      <c r="Q4" s="430"/>
      <c r="R4" s="431"/>
      <c r="S4" s="432">
        <v>0</v>
      </c>
      <c r="T4" s="433"/>
      <c r="U4" s="430"/>
      <c r="V4" s="430"/>
      <c r="W4" s="430"/>
    </row>
    <row r="5" spans="1:23" ht="19.899999999999999" customHeight="1">
      <c r="A5" s="71" t="s">
        <v>154</v>
      </c>
      <c r="B5" s="8" t="s">
        <v>798</v>
      </c>
      <c r="K5" s="1545"/>
      <c r="L5" s="1546"/>
      <c r="M5" s="8" t="s">
        <v>141</v>
      </c>
      <c r="N5" s="1551"/>
      <c r="O5" s="1471"/>
      <c r="Q5" s="91"/>
      <c r="R5" s="4"/>
      <c r="S5" s="8"/>
      <c r="T5" s="55"/>
    </row>
    <row r="6" spans="1:23" ht="19.899999999999999" customHeight="1">
      <c r="A6" s="71" t="s">
        <v>527</v>
      </c>
      <c r="B6" s="8" t="s">
        <v>801</v>
      </c>
      <c r="K6" s="1552"/>
      <c r="L6" s="1553"/>
      <c r="N6" s="92"/>
      <c r="Q6" s="91"/>
      <c r="R6" s="4"/>
      <c r="S6" s="8"/>
      <c r="T6" s="55"/>
    </row>
    <row r="7" spans="1:23" ht="18" customHeight="1">
      <c r="A7" s="52"/>
      <c r="B7" s="9" t="s">
        <v>154</v>
      </c>
      <c r="C7" s="8" t="s">
        <v>803</v>
      </c>
      <c r="K7" s="1545"/>
      <c r="L7" s="1546"/>
      <c r="M7" s="8" t="s">
        <v>141</v>
      </c>
      <c r="Q7" s="91"/>
      <c r="R7" s="81"/>
      <c r="S7" s="8"/>
      <c r="T7" s="55"/>
    </row>
    <row r="8" spans="1:23" ht="6" customHeight="1">
      <c r="A8" s="52"/>
      <c r="Q8" s="91"/>
      <c r="R8" s="81"/>
      <c r="S8" s="8"/>
      <c r="T8" s="55"/>
    </row>
    <row r="9" spans="1:23" ht="19.899999999999999" customHeight="1">
      <c r="A9" s="54"/>
      <c r="B9" s="9" t="s">
        <v>527</v>
      </c>
      <c r="C9" s="8" t="s">
        <v>802</v>
      </c>
      <c r="K9" s="1545"/>
      <c r="L9" s="1546"/>
      <c r="M9" s="8" t="s">
        <v>806</v>
      </c>
      <c r="N9" s="92"/>
      <c r="Q9" s="91"/>
      <c r="R9" s="4"/>
      <c r="S9" s="8"/>
      <c r="T9" s="55"/>
    </row>
    <row r="10" spans="1:23" ht="6" customHeight="1">
      <c r="A10" s="52"/>
      <c r="Q10" s="91"/>
      <c r="R10" s="81"/>
      <c r="S10" s="8"/>
      <c r="T10" s="55"/>
    </row>
    <row r="11" spans="1:23" ht="18" customHeight="1">
      <c r="A11" s="52"/>
      <c r="B11" s="4" t="s">
        <v>156</v>
      </c>
      <c r="C11" s="8" t="s">
        <v>804</v>
      </c>
      <c r="G11" s="1555" t="str">
        <f>IF(S4=0,"",IF(S4=1,"",IF(S4=2,(K7))))</f>
        <v/>
      </c>
      <c r="H11" s="1556"/>
      <c r="I11" s="8" t="s">
        <v>805</v>
      </c>
      <c r="J11" s="1192" t="str">
        <f>IF(S4=0,"",IF(S4=1,"",IF(S4=2,(K9))))</f>
        <v/>
      </c>
      <c r="K11" s="1557"/>
      <c r="L11" s="1136" t="s">
        <v>807</v>
      </c>
      <c r="M11" s="1137"/>
      <c r="N11" s="1422" t="str">
        <f>IF(S4=0,"",IF(S4=1,"",IF(S4=2,(G11*J11))))</f>
        <v/>
      </c>
      <c r="O11" s="1554"/>
      <c r="P11" s="8" t="s">
        <v>141</v>
      </c>
      <c r="T11" s="55"/>
    </row>
    <row r="12" spans="1:23" ht="6" customHeight="1">
      <c r="A12" s="72"/>
      <c r="R12" s="91"/>
      <c r="S12" s="81"/>
      <c r="T12" s="55"/>
    </row>
    <row r="13" spans="1:23" ht="16.350000000000001" customHeight="1">
      <c r="A13" s="1466" t="s">
        <v>311</v>
      </c>
      <c r="B13" s="1467"/>
      <c r="C13" s="1467"/>
      <c r="D13" s="1467"/>
      <c r="E13" s="1467"/>
      <c r="F13" s="1467"/>
      <c r="G13" s="1467"/>
      <c r="H13" s="1467"/>
      <c r="I13" s="1467"/>
      <c r="J13" s="1467"/>
      <c r="K13" s="1467"/>
      <c r="L13" s="1467"/>
      <c r="M13" s="1467"/>
      <c r="N13" s="1467"/>
      <c r="O13" s="1467"/>
      <c r="P13" s="1467"/>
      <c r="Q13" s="1467"/>
      <c r="R13" s="1467"/>
      <c r="S13" s="1467"/>
      <c r="T13" s="1468"/>
      <c r="U13" s="68"/>
      <c r="V13" s="68"/>
      <c r="W13" s="68"/>
    </row>
    <row r="14" spans="1:23" ht="6" customHeight="1">
      <c r="A14" s="200"/>
      <c r="B14" s="201"/>
      <c r="C14" s="201"/>
      <c r="D14" s="201"/>
      <c r="E14" s="201"/>
      <c r="F14" s="201"/>
      <c r="G14" s="201"/>
      <c r="H14" s="201"/>
      <c r="I14" s="201"/>
      <c r="J14" s="201"/>
      <c r="K14" s="201"/>
      <c r="L14" s="201"/>
      <c r="M14" s="201"/>
      <c r="N14" s="201"/>
      <c r="O14" s="201"/>
      <c r="P14" s="201"/>
      <c r="Q14" s="201"/>
      <c r="R14" s="201"/>
      <c r="S14" s="201"/>
      <c r="T14" s="202"/>
      <c r="U14" s="68"/>
    </row>
    <row r="15" spans="1:23" ht="19.899999999999999" customHeight="1">
      <c r="A15" s="198" t="s">
        <v>154</v>
      </c>
      <c r="B15" s="1056" t="s">
        <v>616</v>
      </c>
      <c r="C15" s="1056"/>
      <c r="D15" s="1056"/>
      <c r="E15" s="1056"/>
      <c r="F15" s="1060"/>
      <c r="G15" s="1062"/>
      <c r="H15" s="8" t="s">
        <v>97</v>
      </c>
      <c r="K15" s="68"/>
      <c r="L15" s="68"/>
      <c r="M15" s="68"/>
      <c r="N15" s="68"/>
      <c r="O15" s="68"/>
      <c r="P15" s="68"/>
      <c r="Q15" s="68"/>
      <c r="R15" s="68"/>
      <c r="S15" s="68"/>
      <c r="T15" s="55"/>
      <c r="U15" s="68"/>
    </row>
    <row r="16" spans="1:23" ht="18" customHeight="1">
      <c r="A16" s="72"/>
      <c r="B16" s="1056" t="s">
        <v>58</v>
      </c>
      <c r="C16" s="1056"/>
      <c r="D16" s="1056"/>
      <c r="E16" s="1056"/>
      <c r="F16" s="1056"/>
      <c r="G16" s="1056"/>
      <c r="H16" s="1056"/>
      <c r="K16" s="68"/>
      <c r="L16" s="68"/>
      <c r="M16" s="68"/>
      <c r="N16" s="68"/>
      <c r="O16" s="68"/>
      <c r="P16" s="68"/>
      <c r="Q16" s="68"/>
      <c r="R16" s="68"/>
      <c r="S16" s="68"/>
      <c r="T16" s="197"/>
      <c r="U16" s="68"/>
    </row>
    <row r="17" spans="1:29" ht="19.899999999999999" customHeight="1">
      <c r="A17" s="198" t="str">
        <f>"B."</f>
        <v>B.</v>
      </c>
      <c r="B17" s="8" t="s">
        <v>819</v>
      </c>
      <c r="F17" s="1393"/>
      <c r="G17" s="1394"/>
      <c r="H17" s="8" t="s">
        <v>99</v>
      </c>
      <c r="I17" s="1397"/>
      <c r="J17" s="1547"/>
      <c r="K17" s="1548"/>
      <c r="L17" s="1548"/>
      <c r="M17" s="1141"/>
      <c r="N17" s="1141"/>
      <c r="O17" s="1364"/>
      <c r="P17" s="1364"/>
      <c r="Q17" s="66"/>
      <c r="R17" s="66"/>
      <c r="S17" s="35"/>
      <c r="T17" s="143"/>
    </row>
    <row r="18" spans="1:29" ht="6" customHeight="1">
      <c r="A18" s="198"/>
      <c r="F18" s="195"/>
      <c r="G18" s="195"/>
      <c r="H18" s="108"/>
      <c r="I18" s="1547"/>
      <c r="J18" s="1547"/>
      <c r="K18" s="1548"/>
      <c r="L18" s="1548"/>
      <c r="M18" s="4"/>
      <c r="N18" s="4"/>
      <c r="O18" s="19"/>
      <c r="P18" s="19"/>
      <c r="Q18" s="66"/>
      <c r="R18" s="66"/>
      <c r="S18" s="35"/>
      <c r="T18" s="143"/>
    </row>
    <row r="19" spans="1:29" ht="19.899999999999999" customHeight="1">
      <c r="A19" s="198"/>
      <c r="B19" s="8" t="s">
        <v>820</v>
      </c>
      <c r="F19" s="1148"/>
      <c r="G19" s="1149"/>
      <c r="H19" s="8" t="s">
        <v>97</v>
      </c>
      <c r="I19" s="1547"/>
      <c r="J19" s="1547"/>
      <c r="K19" s="1548"/>
      <c r="L19" s="1548"/>
      <c r="M19" s="4"/>
      <c r="N19" s="4"/>
      <c r="O19" s="19"/>
      <c r="P19" s="19"/>
      <c r="Q19" s="66"/>
      <c r="R19" s="66"/>
      <c r="S19" s="35"/>
      <c r="T19" s="143"/>
    </row>
    <row r="20" spans="1:29" ht="6" customHeight="1">
      <c r="A20" s="198"/>
      <c r="F20" s="195"/>
      <c r="G20" s="195"/>
      <c r="H20" s="108"/>
      <c r="K20" s="4"/>
      <c r="L20" s="4"/>
      <c r="M20" s="4"/>
      <c r="N20" s="4"/>
      <c r="O20" s="19"/>
      <c r="P20" s="19"/>
      <c r="Q20" s="66"/>
      <c r="R20" s="66"/>
      <c r="S20" s="35"/>
      <c r="T20" s="143"/>
    </row>
    <row r="21" spans="1:29" ht="6" customHeight="1">
      <c r="A21" s="187"/>
      <c r="B21" s="57"/>
      <c r="C21" s="208"/>
      <c r="D21" s="208"/>
      <c r="E21" s="209"/>
      <c r="F21" s="57"/>
      <c r="G21" s="210"/>
      <c r="H21" s="208"/>
      <c r="I21" s="208"/>
      <c r="J21" s="209"/>
      <c r="K21" s="211"/>
      <c r="L21" s="210"/>
      <c r="M21" s="232"/>
      <c r="N21" s="209"/>
      <c r="O21" s="212"/>
      <c r="P21" s="212"/>
      <c r="Q21" s="209"/>
      <c r="R21" s="57"/>
      <c r="S21" s="128"/>
      <c r="T21" s="186"/>
    </row>
    <row r="22" spans="1:29" ht="18" customHeight="1">
      <c r="A22" s="198" t="s">
        <v>156</v>
      </c>
      <c r="B22" s="8" t="s">
        <v>59</v>
      </c>
      <c r="C22" s="188"/>
      <c r="D22" s="188"/>
      <c r="E22" s="109"/>
      <c r="G22" s="108"/>
      <c r="H22" s="188"/>
      <c r="I22" s="188"/>
      <c r="J22" s="109"/>
      <c r="K22" s="194"/>
      <c r="L22" s="108"/>
      <c r="M22" s="231"/>
      <c r="N22" s="109"/>
      <c r="O22" s="195"/>
      <c r="P22" s="195"/>
      <c r="Q22" s="109"/>
      <c r="S22" s="35"/>
      <c r="T22" s="143"/>
    </row>
    <row r="23" spans="1:29" ht="18" customHeight="1">
      <c r="A23" s="198"/>
      <c r="B23" s="8" t="s">
        <v>308</v>
      </c>
      <c r="C23" s="213"/>
      <c r="D23" s="213"/>
      <c r="E23" s="213"/>
      <c r="F23" s="213"/>
      <c r="G23" s="213"/>
      <c r="H23" s="213"/>
      <c r="I23" s="213"/>
      <c r="J23" s="213"/>
      <c r="K23" s="213"/>
      <c r="L23" s="108"/>
      <c r="M23" s="231"/>
      <c r="N23" s="109"/>
      <c r="O23" s="195"/>
      <c r="P23" s="195"/>
      <c r="Q23" s="109"/>
      <c r="S23" s="35"/>
      <c r="T23" s="143"/>
    </row>
    <row r="24" spans="1:29" ht="6" customHeight="1">
      <c r="A24" s="72"/>
      <c r="C24" s="10"/>
      <c r="D24" s="10"/>
      <c r="E24" s="10"/>
      <c r="F24" s="10"/>
      <c r="G24" s="10"/>
      <c r="H24" s="10"/>
      <c r="I24" s="10"/>
      <c r="J24" s="10"/>
      <c r="K24" s="10"/>
      <c r="L24" s="108"/>
      <c r="M24" s="231"/>
      <c r="N24" s="109"/>
      <c r="O24" s="195"/>
      <c r="P24" s="195"/>
      <c r="Q24" s="109"/>
      <c r="S24" s="35"/>
      <c r="T24" s="143"/>
    </row>
    <row r="25" spans="1:29" ht="22.9" customHeight="1">
      <c r="A25" s="72"/>
      <c r="B25" s="1525" t="s">
        <v>48</v>
      </c>
      <c r="C25" s="1529"/>
      <c r="D25" s="1526"/>
      <c r="E25" s="1525" t="s">
        <v>63</v>
      </c>
      <c r="F25" s="1526"/>
      <c r="H25" s="1525" t="s">
        <v>80</v>
      </c>
      <c r="I25" s="1526"/>
      <c r="K25" s="1525" t="s">
        <v>79</v>
      </c>
      <c r="L25" s="1526"/>
      <c r="M25" s="231"/>
      <c r="N25" s="109"/>
      <c r="O25" s="195"/>
      <c r="P25" s="195"/>
      <c r="Q25" s="109"/>
      <c r="S25" s="35"/>
      <c r="T25" s="143"/>
      <c r="Y25" s="206"/>
      <c r="Z25" s="206"/>
      <c r="AA25" s="206"/>
      <c r="AB25" s="206"/>
      <c r="AC25" s="206"/>
    </row>
    <row r="26" spans="1:29" ht="22.9" customHeight="1">
      <c r="A26" s="72"/>
      <c r="B26" s="1527"/>
      <c r="C26" s="1530"/>
      <c r="D26" s="1528"/>
      <c r="E26" s="1527"/>
      <c r="F26" s="1528"/>
      <c r="H26" s="1527"/>
      <c r="I26" s="1528"/>
      <c r="K26" s="1527"/>
      <c r="L26" s="1528"/>
      <c r="M26" s="231"/>
      <c r="N26" s="109"/>
      <c r="O26" s="195"/>
      <c r="P26" s="195"/>
      <c r="Q26" s="109"/>
      <c r="S26" s="35"/>
      <c r="T26" s="143"/>
      <c r="Y26" s="206"/>
      <c r="Z26" s="206"/>
      <c r="AA26" s="206"/>
      <c r="AB26" s="206"/>
      <c r="AC26" s="206"/>
    </row>
    <row r="27" spans="1:29" ht="19.899999999999999" customHeight="1">
      <c r="A27" s="72"/>
      <c r="B27" s="1532" t="s">
        <v>49</v>
      </c>
      <c r="C27" s="1532"/>
      <c r="D27" s="1532"/>
      <c r="E27" s="1535"/>
      <c r="F27" s="1535"/>
      <c r="G27" s="215" t="s">
        <v>106</v>
      </c>
      <c r="H27" s="1533" t="str">
        <f t="shared" ref="H27:H35" si="0">IF(ISBLANK(E27),"",IF($F$17=$AE$77,AE78,IF($F$17=$AF$77,AF78,IF($F$17=$AG$77,AG78,""))))</f>
        <v/>
      </c>
      <c r="I27" s="1534"/>
      <c r="J27" s="215" t="s">
        <v>107</v>
      </c>
      <c r="K27" s="1533" t="str">
        <f t="shared" ref="K27:K37" si="1">IF(ISBLANK(E27),"",E27*H27)</f>
        <v/>
      </c>
      <c r="L27" s="1534"/>
      <c r="N27" s="109"/>
      <c r="O27" s="195"/>
      <c r="P27" s="195"/>
      <c r="Q27" s="109"/>
      <c r="S27" s="35"/>
      <c r="T27" s="143"/>
    </row>
    <row r="28" spans="1:29" ht="19.899999999999999" customHeight="1">
      <c r="A28" s="72"/>
      <c r="B28" s="1532" t="s">
        <v>50</v>
      </c>
      <c r="C28" s="1532"/>
      <c r="D28" s="1532"/>
      <c r="E28" s="1535"/>
      <c r="F28" s="1535"/>
      <c r="G28" s="215" t="s">
        <v>106</v>
      </c>
      <c r="H28" s="1533" t="str">
        <f t="shared" si="0"/>
        <v/>
      </c>
      <c r="I28" s="1534"/>
      <c r="J28" s="215" t="s">
        <v>107</v>
      </c>
      <c r="K28" s="1533" t="str">
        <f t="shared" si="1"/>
        <v/>
      </c>
      <c r="L28" s="1534"/>
      <c r="N28" s="109"/>
      <c r="O28" s="195"/>
      <c r="P28" s="195"/>
      <c r="Q28" s="109"/>
      <c r="S28" s="35"/>
      <c r="T28" s="143"/>
    </row>
    <row r="29" spans="1:29" ht="19.899999999999999" customHeight="1">
      <c r="A29" s="72"/>
      <c r="B29" s="1532" t="s">
        <v>51</v>
      </c>
      <c r="C29" s="1532"/>
      <c r="D29" s="1532"/>
      <c r="E29" s="1535"/>
      <c r="F29" s="1535"/>
      <c r="G29" s="215" t="s">
        <v>106</v>
      </c>
      <c r="H29" s="1533" t="str">
        <f t="shared" si="0"/>
        <v/>
      </c>
      <c r="I29" s="1534"/>
      <c r="J29" s="215" t="s">
        <v>107</v>
      </c>
      <c r="K29" s="1533" t="str">
        <f t="shared" si="1"/>
        <v/>
      </c>
      <c r="L29" s="1534"/>
      <c r="S29" s="8"/>
      <c r="T29" s="55"/>
    </row>
    <row r="30" spans="1:29" ht="19.899999999999999" customHeight="1">
      <c r="A30" s="72"/>
      <c r="B30" s="1532" t="s">
        <v>52</v>
      </c>
      <c r="C30" s="1532"/>
      <c r="D30" s="1532"/>
      <c r="E30" s="1535"/>
      <c r="F30" s="1535"/>
      <c r="G30" s="215" t="s">
        <v>106</v>
      </c>
      <c r="H30" s="1533" t="str">
        <f t="shared" si="0"/>
        <v/>
      </c>
      <c r="I30" s="1534"/>
      <c r="J30" s="215" t="s">
        <v>107</v>
      </c>
      <c r="K30" s="1533" t="str">
        <f t="shared" si="1"/>
        <v/>
      </c>
      <c r="L30" s="1534"/>
      <c r="S30" s="8"/>
      <c r="T30" s="55"/>
    </row>
    <row r="31" spans="1:29" ht="19.899999999999999" customHeight="1">
      <c r="A31" s="72"/>
      <c r="B31" s="1532" t="s">
        <v>53</v>
      </c>
      <c r="C31" s="1532"/>
      <c r="D31" s="1532"/>
      <c r="E31" s="1535"/>
      <c r="F31" s="1535"/>
      <c r="G31" s="215" t="s">
        <v>106</v>
      </c>
      <c r="H31" s="1533" t="str">
        <f t="shared" si="0"/>
        <v/>
      </c>
      <c r="I31" s="1534"/>
      <c r="J31" s="215" t="s">
        <v>107</v>
      </c>
      <c r="K31" s="1533" t="str">
        <f t="shared" si="1"/>
        <v/>
      </c>
      <c r="L31" s="1534"/>
      <c r="S31" s="8"/>
      <c r="T31" s="55"/>
    </row>
    <row r="32" spans="1:29" ht="19.899999999999999" customHeight="1">
      <c r="A32" s="72"/>
      <c r="B32" s="1532" t="s">
        <v>54</v>
      </c>
      <c r="C32" s="1532"/>
      <c r="D32" s="1532"/>
      <c r="E32" s="1535"/>
      <c r="F32" s="1535"/>
      <c r="G32" s="215" t="s">
        <v>106</v>
      </c>
      <c r="H32" s="1533" t="str">
        <f t="shared" si="0"/>
        <v/>
      </c>
      <c r="I32" s="1534"/>
      <c r="J32" s="215" t="s">
        <v>107</v>
      </c>
      <c r="K32" s="1533" t="str">
        <f t="shared" si="1"/>
        <v/>
      </c>
      <c r="L32" s="1534"/>
      <c r="M32" s="434" t="s">
        <v>621</v>
      </c>
      <c r="N32" s="416"/>
      <c r="O32" s="416"/>
      <c r="P32" s="416"/>
      <c r="Q32" s="416"/>
      <c r="R32" s="416"/>
      <c r="S32" s="416"/>
      <c r="T32" s="417"/>
    </row>
    <row r="33" spans="1:20" ht="19.899999999999999" customHeight="1">
      <c r="A33" s="72"/>
      <c r="B33" s="1532" t="s">
        <v>55</v>
      </c>
      <c r="C33" s="1532"/>
      <c r="D33" s="1532"/>
      <c r="E33" s="1535"/>
      <c r="F33" s="1535"/>
      <c r="G33" s="215" t="s">
        <v>106</v>
      </c>
      <c r="H33" s="1533" t="str">
        <f t="shared" si="0"/>
        <v/>
      </c>
      <c r="I33" s="1534"/>
      <c r="J33" s="215" t="s">
        <v>107</v>
      </c>
      <c r="K33" s="1533" t="str">
        <f t="shared" si="1"/>
        <v/>
      </c>
      <c r="L33" s="1534"/>
      <c r="M33" s="435"/>
      <c r="N33" s="436"/>
      <c r="O33" s="436"/>
      <c r="P33" s="436"/>
      <c r="Q33" s="436"/>
      <c r="R33" s="436"/>
      <c r="S33" s="436"/>
      <c r="T33" s="186"/>
    </row>
    <row r="34" spans="1:20" ht="19.899999999999999" customHeight="1">
      <c r="A34" s="72"/>
      <c r="B34" s="1532" t="s">
        <v>56</v>
      </c>
      <c r="C34" s="1532"/>
      <c r="D34" s="1532"/>
      <c r="E34" s="1535"/>
      <c r="F34" s="1535"/>
      <c r="G34" s="215" t="s">
        <v>106</v>
      </c>
      <c r="H34" s="1533" t="str">
        <f t="shared" si="0"/>
        <v/>
      </c>
      <c r="I34" s="1534"/>
      <c r="J34" s="215" t="s">
        <v>107</v>
      </c>
      <c r="K34" s="1533" t="str">
        <f t="shared" si="1"/>
        <v/>
      </c>
      <c r="L34" s="1534"/>
      <c r="M34" s="233"/>
      <c r="N34" s="109"/>
      <c r="O34" s="195"/>
      <c r="P34" s="195"/>
      <c r="Q34" s="109"/>
      <c r="S34" s="35"/>
      <c r="T34" s="240"/>
    </row>
    <row r="35" spans="1:20" ht="19.899999999999999" customHeight="1">
      <c r="A35" s="72"/>
      <c r="B35" s="1532" t="s">
        <v>57</v>
      </c>
      <c r="C35" s="1532"/>
      <c r="D35" s="1532"/>
      <c r="E35" s="1535"/>
      <c r="F35" s="1535"/>
      <c r="G35" s="215" t="s">
        <v>106</v>
      </c>
      <c r="H35" s="1533" t="str">
        <f t="shared" si="0"/>
        <v/>
      </c>
      <c r="I35" s="1534"/>
      <c r="J35" s="215" t="s">
        <v>107</v>
      </c>
      <c r="K35" s="1533" t="str">
        <f t="shared" si="1"/>
        <v/>
      </c>
      <c r="L35" s="1534"/>
      <c r="M35" s="234"/>
      <c r="N35" s="204"/>
      <c r="O35" s="235"/>
      <c r="P35" s="235"/>
      <c r="Q35" s="204"/>
      <c r="R35" s="79"/>
      <c r="S35" s="53"/>
      <c r="T35" s="415"/>
    </row>
    <row r="36" spans="1:20" ht="19.899999999999999" customHeight="1">
      <c r="A36" s="72"/>
      <c r="B36" s="1531" t="s">
        <v>62</v>
      </c>
      <c r="C36" s="1531"/>
      <c r="D36" s="1531"/>
      <c r="E36" s="1535"/>
      <c r="F36" s="1535"/>
      <c r="G36" s="215" t="s">
        <v>106</v>
      </c>
      <c r="H36" s="1536"/>
      <c r="I36" s="1537"/>
      <c r="J36" s="215" t="s">
        <v>107</v>
      </c>
      <c r="K36" s="1533" t="str">
        <f t="shared" si="1"/>
        <v/>
      </c>
      <c r="L36" s="1534"/>
      <c r="M36" s="242" t="s">
        <v>543</v>
      </c>
      <c r="N36" s="243"/>
      <c r="O36" s="243" t="s">
        <v>135</v>
      </c>
      <c r="P36" s="243"/>
      <c r="Q36" s="243" t="s">
        <v>544</v>
      </c>
      <c r="R36" s="243"/>
      <c r="S36" s="243" t="s">
        <v>8</v>
      </c>
      <c r="T36" s="244"/>
    </row>
    <row r="37" spans="1:20" ht="19.899999999999999" customHeight="1">
      <c r="A37" s="72"/>
      <c r="B37" s="1531" t="s">
        <v>62</v>
      </c>
      <c r="C37" s="1531"/>
      <c r="D37" s="1531"/>
      <c r="E37" s="1535"/>
      <c r="F37" s="1535"/>
      <c r="G37" s="215" t="s">
        <v>106</v>
      </c>
      <c r="H37" s="1536"/>
      <c r="I37" s="1537"/>
      <c r="J37" s="215" t="s">
        <v>107</v>
      </c>
      <c r="K37" s="1533" t="str">
        <f t="shared" si="1"/>
        <v/>
      </c>
      <c r="L37" s="1534"/>
      <c r="S37" s="8"/>
      <c r="T37" s="55"/>
    </row>
    <row r="38" spans="1:20" ht="6" customHeight="1">
      <c r="A38" s="207"/>
      <c r="B38" s="1"/>
      <c r="C38" s="1"/>
      <c r="D38" s="1"/>
      <c r="E38" s="1"/>
      <c r="K38" s="142"/>
      <c r="L38" s="142"/>
      <c r="S38" s="8"/>
      <c r="T38" s="55"/>
    </row>
    <row r="39" spans="1:20" ht="19.899999999999999" customHeight="1">
      <c r="A39" s="207" t="s">
        <v>476</v>
      </c>
      <c r="B39" s="1" t="s">
        <v>81</v>
      </c>
      <c r="C39" s="1"/>
      <c r="D39" s="1"/>
      <c r="E39" s="1"/>
      <c r="K39" s="1455" t="str">
        <f>IF(S4=0,"",IF(ISBLANK(F15),"",SUM(K27:L37)))</f>
        <v/>
      </c>
      <c r="L39" s="1457"/>
      <c r="N39" s="1543" t="s">
        <v>61</v>
      </c>
      <c r="O39" s="1543"/>
      <c r="P39" s="1543"/>
      <c r="Q39" s="1543"/>
      <c r="R39" s="1543"/>
      <c r="S39" s="1543"/>
      <c r="T39" s="1544"/>
    </row>
    <row r="40" spans="1:20" ht="6" customHeight="1">
      <c r="A40" s="207"/>
      <c r="B40" s="1"/>
      <c r="C40" s="1"/>
      <c r="D40" s="1"/>
      <c r="E40" s="1"/>
      <c r="K40" s="142"/>
      <c r="L40" s="142"/>
      <c r="N40" s="1543"/>
      <c r="O40" s="1543"/>
      <c r="P40" s="1543"/>
      <c r="Q40" s="1543"/>
      <c r="R40" s="1543"/>
      <c r="S40" s="1543"/>
      <c r="T40" s="1544"/>
    </row>
    <row r="41" spans="1:20" ht="18" customHeight="1">
      <c r="A41" s="72" t="s">
        <v>477</v>
      </c>
      <c r="B41" s="40" t="s">
        <v>1155</v>
      </c>
      <c r="C41" s="1"/>
      <c r="D41" s="1"/>
      <c r="E41" s="1"/>
      <c r="F41" s="1"/>
      <c r="G41" s="1"/>
      <c r="H41" s="35"/>
      <c r="I41" s="188"/>
      <c r="J41" s="109"/>
      <c r="K41" s="194"/>
      <c r="L41" s="108"/>
      <c r="S41" s="8"/>
      <c r="T41" s="55"/>
    </row>
    <row r="42" spans="1:20" ht="19.899999999999999" customHeight="1">
      <c r="A42" s="72"/>
      <c r="B42" s="961" t="str">
        <f>IF(S4=0,"",IF(ISBLANK(F15),"",F19))</f>
        <v/>
      </c>
      <c r="C42" s="999"/>
      <c r="D42" s="4" t="s">
        <v>124</v>
      </c>
      <c r="E42" s="967" t="str">
        <f>K39</f>
        <v/>
      </c>
      <c r="F42" s="968"/>
      <c r="G42" s="4" t="s">
        <v>125</v>
      </c>
      <c r="H42" s="967" t="str">
        <f>IF(S4=0,"",IF(ISBLANK(F15),"",B42+E42))</f>
        <v/>
      </c>
      <c r="I42" s="968"/>
      <c r="J42" s="8" t="s">
        <v>97</v>
      </c>
      <c r="K42" s="194"/>
      <c r="L42" s="108"/>
      <c r="S42" s="8"/>
      <c r="T42" s="55"/>
    </row>
    <row r="43" spans="1:20" ht="6" customHeight="1">
      <c r="A43" s="72"/>
      <c r="B43" s="1"/>
      <c r="C43" s="1"/>
      <c r="D43" s="1"/>
      <c r="E43" s="1"/>
      <c r="F43" s="1"/>
      <c r="G43" s="1"/>
      <c r="H43" s="35"/>
      <c r="I43" s="188"/>
      <c r="J43" s="109"/>
      <c r="K43" s="194"/>
      <c r="L43" s="108"/>
      <c r="M43" s="231"/>
      <c r="Q43" s="3"/>
      <c r="R43" s="3"/>
      <c r="S43" s="8"/>
      <c r="T43" s="218"/>
    </row>
    <row r="44" spans="1:20" ht="16.899999999999999" customHeight="1">
      <c r="A44" s="72" t="s">
        <v>539</v>
      </c>
      <c r="B44" s="20" t="s">
        <v>283</v>
      </c>
      <c r="C44" s="1"/>
      <c r="D44" s="1"/>
      <c r="E44" s="1"/>
      <c r="F44" s="1"/>
      <c r="G44" s="1"/>
      <c r="H44" s="35"/>
      <c r="I44" s="188"/>
      <c r="J44" s="109"/>
      <c r="K44" s="194"/>
      <c r="L44" s="108"/>
      <c r="S44" s="8"/>
      <c r="T44" s="55"/>
    </row>
    <row r="45" spans="1:20" ht="18" customHeight="1">
      <c r="A45" s="127"/>
      <c r="B45" s="1141" t="s">
        <v>9</v>
      </c>
      <c r="C45" s="1430"/>
      <c r="D45" s="1053" t="s">
        <v>10</v>
      </c>
      <c r="E45" s="1006"/>
      <c r="F45" s="1006"/>
      <c r="G45" s="22" t="s">
        <v>11</v>
      </c>
      <c r="H45" s="1053" t="s">
        <v>280</v>
      </c>
      <c r="I45" s="1471"/>
      <c r="J45" s="1471"/>
      <c r="K45" s="1471"/>
      <c r="L45" s="231" t="s">
        <v>106</v>
      </c>
      <c r="M45" s="3" t="s">
        <v>1154</v>
      </c>
      <c r="N45" s="4"/>
      <c r="O45" s="4"/>
      <c r="P45" s="4"/>
      <c r="Q45" s="4"/>
      <c r="R45" s="4"/>
      <c r="T45" s="218"/>
    </row>
    <row r="46" spans="1:20" ht="6" customHeight="1">
      <c r="A46" s="72"/>
      <c r="B46" s="1"/>
      <c r="C46" s="1"/>
      <c r="D46" s="1"/>
      <c r="E46" s="1"/>
      <c r="F46" s="1"/>
      <c r="G46" s="1"/>
      <c r="H46" s="35"/>
      <c r="I46" s="188"/>
      <c r="J46" s="109"/>
      <c r="K46" s="194"/>
      <c r="L46" s="108"/>
      <c r="M46" s="231"/>
      <c r="Q46" s="3"/>
      <c r="R46" s="3"/>
      <c r="S46" s="8"/>
      <c r="T46" s="218"/>
    </row>
    <row r="47" spans="1:20" ht="19.899999999999999" customHeight="1">
      <c r="A47" s="127"/>
      <c r="B47" s="1141" t="s">
        <v>282</v>
      </c>
      <c r="C47" s="1141"/>
      <c r="D47" s="967" t="str">
        <f>IF(S4=0,"",IF(ISBLANK(F15),"",F17))</f>
        <v/>
      </c>
      <c r="E47" s="1414"/>
      <c r="F47" s="8" t="s">
        <v>284</v>
      </c>
      <c r="G47" s="22" t="s">
        <v>11</v>
      </c>
      <c r="H47" s="967" t="str">
        <f>IF(S4=0,"",IF(S4=1,K5,IF(S4=2,(N11))))</f>
        <v/>
      </c>
      <c r="I47" s="968"/>
      <c r="J47" s="241" t="s">
        <v>281</v>
      </c>
      <c r="K47" s="77"/>
      <c r="L47" s="239"/>
      <c r="M47" s="967" t="str">
        <f>IF(S4=0,"",IF(ISBLANK(F15),"",H42))</f>
        <v/>
      </c>
      <c r="N47" s="1500"/>
      <c r="O47" s="8" t="s">
        <v>546</v>
      </c>
      <c r="P47" s="967" t="str">
        <f>IF(S4=0,"",(10.5/D47^4.87)*(H47/130)^1.85*M47)</f>
        <v/>
      </c>
      <c r="Q47" s="968"/>
      <c r="R47" s="8" t="s">
        <v>97</v>
      </c>
      <c r="S47" s="109"/>
      <c r="T47" s="143"/>
    </row>
    <row r="48" spans="1:20" ht="32.450000000000003" customHeight="1">
      <c r="A48" s="198" t="s">
        <v>540</v>
      </c>
      <c r="B48" s="1397" t="s">
        <v>821</v>
      </c>
      <c r="C48" s="1397"/>
      <c r="D48" s="1538"/>
      <c r="E48" s="1538"/>
      <c r="F48" s="1538"/>
      <c r="G48" s="1538"/>
      <c r="H48" s="1538"/>
      <c r="I48" s="1538"/>
      <c r="J48" s="1538"/>
      <c r="K48" s="1538"/>
      <c r="L48" s="1538"/>
      <c r="M48" s="1006"/>
      <c r="N48" s="1006"/>
      <c r="O48" s="1006"/>
      <c r="P48" s="1006"/>
      <c r="Q48" s="1006"/>
      <c r="R48" s="1006"/>
      <c r="S48" s="1006"/>
      <c r="T48" s="143"/>
    </row>
    <row r="49" spans="1:48" ht="6" customHeight="1">
      <c r="A49" s="199"/>
      <c r="B49" s="36"/>
      <c r="C49" s="36"/>
      <c r="D49" s="36"/>
      <c r="E49" s="36"/>
      <c r="F49" s="36"/>
      <c r="G49" s="36"/>
      <c r="H49" s="36"/>
      <c r="I49" s="36"/>
      <c r="J49" s="36"/>
      <c r="K49" s="36"/>
      <c r="L49" s="36"/>
      <c r="M49" s="36"/>
      <c r="S49" s="8"/>
      <c r="T49" s="55"/>
    </row>
    <row r="50" spans="1:48" ht="19.899999999999999" customHeight="1">
      <c r="A50" s="72"/>
      <c r="D50" s="967" t="str">
        <f>IF(ISBLANK(F15)," ",(F15))</f>
        <v xml:space="preserve"> </v>
      </c>
      <c r="E50" s="968"/>
      <c r="F50" s="8" t="s">
        <v>290</v>
      </c>
      <c r="G50" s="4" t="s">
        <v>315</v>
      </c>
      <c r="H50" s="967" t="str">
        <f>IF(ISBLANK(F17)," ",P47)</f>
        <v xml:space="preserve"> </v>
      </c>
      <c r="I50" s="968"/>
      <c r="J50" s="4" t="s">
        <v>126</v>
      </c>
      <c r="K50" s="967" t="str">
        <f>IF(ISBLANK(F17),"",SUM(D50+H50))</f>
        <v/>
      </c>
      <c r="L50" s="968"/>
      <c r="M50" s="8" t="s">
        <v>97</v>
      </c>
      <c r="S50" s="8"/>
      <c r="T50" s="55"/>
    </row>
    <row r="51" spans="1:48" ht="6" customHeight="1">
      <c r="A51" s="222"/>
      <c r="B51" s="79"/>
      <c r="C51" s="79"/>
      <c r="D51" s="79"/>
      <c r="E51" s="79"/>
      <c r="F51" s="79"/>
      <c r="G51" s="79"/>
      <c r="H51" s="79"/>
      <c r="I51" s="79"/>
      <c r="J51" s="79"/>
      <c r="K51" s="79"/>
      <c r="L51" s="79"/>
      <c r="M51" s="79"/>
      <c r="N51" s="79"/>
      <c r="O51" s="79"/>
      <c r="P51" s="53"/>
      <c r="Q51" s="79"/>
      <c r="R51" s="51"/>
      <c r="S51" s="53"/>
      <c r="T51" s="189"/>
      <c r="U51" s="68"/>
    </row>
    <row r="52" spans="1:48" ht="16.350000000000001" customHeight="1">
      <c r="A52" s="1466" t="s">
        <v>312</v>
      </c>
      <c r="B52" s="1467"/>
      <c r="C52" s="1467"/>
      <c r="D52" s="1467"/>
      <c r="E52" s="1467"/>
      <c r="F52" s="1467"/>
      <c r="G52" s="1467"/>
      <c r="H52" s="1467"/>
      <c r="I52" s="1467"/>
      <c r="J52" s="1467"/>
      <c r="K52" s="1467"/>
      <c r="L52" s="1467"/>
      <c r="M52" s="1467"/>
      <c r="N52" s="1467"/>
      <c r="O52" s="1467"/>
      <c r="P52" s="1467"/>
      <c r="Q52" s="1467"/>
      <c r="R52" s="1467"/>
      <c r="S52" s="1467"/>
      <c r="T52" s="1468"/>
    </row>
    <row r="53" spans="1:48" ht="19.899999999999999" customHeight="1">
      <c r="A53" s="1182" t="s">
        <v>152</v>
      </c>
      <c r="B53" s="1141"/>
      <c r="C53" s="1141"/>
      <c r="D53" s="1141"/>
      <c r="E53" s="1141"/>
      <c r="F53" s="1141"/>
      <c r="G53" s="1141"/>
      <c r="H53" s="1541" t="str">
        <f>IF(ISBLANK(F15),"",MAX(K7,K5))</f>
        <v/>
      </c>
      <c r="I53" s="1541"/>
      <c r="J53" s="121" t="s">
        <v>799</v>
      </c>
      <c r="K53" s="121"/>
      <c r="L53" s="121"/>
      <c r="M53" s="121"/>
      <c r="N53" s="1541" t="str">
        <f>IF(ISBLANK(F15),"  ",K50)</f>
        <v xml:space="preserve">  </v>
      </c>
      <c r="O53" s="1541"/>
      <c r="P53" s="121" t="s">
        <v>822</v>
      </c>
      <c r="S53" s="121"/>
      <c r="T53" s="55"/>
    </row>
    <row r="54" spans="1:48" ht="81" customHeight="1">
      <c r="A54" s="1539" t="s">
        <v>39</v>
      </c>
      <c r="B54" s="1540"/>
      <c r="C54" s="1540"/>
      <c r="D54" s="1358"/>
      <c r="E54" s="1358"/>
      <c r="F54" s="1358"/>
      <c r="G54" s="1358"/>
      <c r="H54" s="1358"/>
      <c r="I54" s="1358"/>
      <c r="J54" s="1358"/>
      <c r="K54" s="1358"/>
      <c r="L54" s="1358"/>
      <c r="M54" s="1358"/>
      <c r="N54" s="1358"/>
      <c r="O54" s="1358"/>
      <c r="P54" s="1358"/>
      <c r="Q54" s="1358"/>
      <c r="R54" s="1358"/>
      <c r="S54" s="1358"/>
      <c r="T54" s="1542"/>
    </row>
    <row r="55" spans="1:48" ht="24.75" customHeight="1">
      <c r="AV55" s="19"/>
    </row>
    <row r="56" spans="1:48" ht="24.75" customHeight="1">
      <c r="AV56" s="19"/>
    </row>
    <row r="57" spans="1:48" ht="24.75" customHeight="1">
      <c r="AV57" s="19"/>
    </row>
    <row r="58" spans="1:48" ht="24.75" customHeight="1">
      <c r="AV58" s="19"/>
    </row>
    <row r="59" spans="1:48" ht="24.75" customHeight="1">
      <c r="AV59" s="19"/>
    </row>
    <row r="60" spans="1:48" ht="24.75" customHeight="1">
      <c r="AV60" s="19"/>
    </row>
    <row r="61" spans="1:48" ht="24.75" customHeight="1">
      <c r="AV61" s="19"/>
    </row>
    <row r="62" spans="1:48" ht="24.75" customHeight="1">
      <c r="AV62" s="19"/>
    </row>
    <row r="63" spans="1:48" ht="24.75" customHeight="1">
      <c r="AV63" s="19"/>
    </row>
    <row r="64" spans="1:48" ht="24.75" customHeight="1">
      <c r="AV64" s="19"/>
    </row>
    <row r="65" spans="27:48" ht="24.75" customHeight="1">
      <c r="AV65" s="19"/>
    </row>
    <row r="66" spans="27:48" ht="24.75" customHeight="1">
      <c r="AV66" s="19"/>
    </row>
    <row r="67" spans="27:48" ht="24.75" customHeight="1">
      <c r="AV67" s="19"/>
    </row>
    <row r="68" spans="27:48" ht="24.75" customHeight="1">
      <c r="AV68" s="19"/>
    </row>
    <row r="69" spans="27:48" ht="24.75" customHeight="1">
      <c r="AV69" s="19"/>
    </row>
    <row r="70" spans="27:48" ht="24.75" customHeight="1">
      <c r="AV70" s="19"/>
    </row>
    <row r="71" spans="27:48" ht="24.75" customHeight="1">
      <c r="AV71" s="19"/>
    </row>
    <row r="72" spans="27:48" ht="24.75" customHeight="1">
      <c r="AV72" s="19"/>
    </row>
    <row r="73" spans="27:48" ht="24.75" customHeight="1">
      <c r="AV73" s="19"/>
    </row>
    <row r="74" spans="27:48" ht="24.75" customHeight="1">
      <c r="AV74" s="19"/>
    </row>
    <row r="75" spans="27:48" ht="24.75" customHeight="1">
      <c r="AV75" s="19"/>
    </row>
    <row r="76" spans="27:48" ht="24.75" customHeight="1">
      <c r="AV76" s="19"/>
    </row>
    <row r="77" spans="27:48" ht="24.75" customHeight="1">
      <c r="AA77" s="23"/>
      <c r="AB77" s="19"/>
      <c r="AC77" s="1485" t="s">
        <v>48</v>
      </c>
      <c r="AD77" s="1486"/>
      <c r="AE77" s="190">
        <v>1.5</v>
      </c>
      <c r="AF77" s="190">
        <v>2</v>
      </c>
      <c r="AG77" s="191">
        <v>3</v>
      </c>
      <c r="AV77" s="19"/>
    </row>
    <row r="78" spans="27:48" ht="24.75" customHeight="1">
      <c r="AA78" s="19"/>
      <c r="AB78" s="19"/>
      <c r="AC78" s="1485" t="s">
        <v>49</v>
      </c>
      <c r="AD78" s="1486"/>
      <c r="AE78" s="192">
        <v>1.07</v>
      </c>
      <c r="AF78" s="190">
        <v>1.38</v>
      </c>
      <c r="AG78" s="191">
        <v>2.04</v>
      </c>
    </row>
    <row r="79" spans="27:48" ht="24.75" customHeight="1">
      <c r="AA79" s="23"/>
      <c r="AB79" s="19"/>
      <c r="AC79" s="1485" t="s">
        <v>50</v>
      </c>
      <c r="AD79" s="1486"/>
      <c r="AE79" s="190">
        <v>4.03</v>
      </c>
      <c r="AF79" s="190">
        <v>5.17</v>
      </c>
      <c r="AG79" s="191">
        <v>7.67</v>
      </c>
    </row>
    <row r="80" spans="27:48" ht="24.75" customHeight="1">
      <c r="AA80" s="23"/>
      <c r="AB80" s="19"/>
      <c r="AC80" s="1485" t="s">
        <v>51</v>
      </c>
      <c r="AD80" s="1486"/>
      <c r="AE80" s="190">
        <v>2.15</v>
      </c>
      <c r="AF80" s="190">
        <v>2.76</v>
      </c>
      <c r="AG80" s="191">
        <v>4.09</v>
      </c>
    </row>
    <row r="81" spans="27:33" ht="24.75" customHeight="1">
      <c r="AA81" s="43"/>
      <c r="AB81" s="19"/>
      <c r="AC81" s="1485" t="s">
        <v>52</v>
      </c>
      <c r="AD81" s="1486"/>
      <c r="AE81" s="190">
        <v>2.68</v>
      </c>
      <c r="AF81" s="190">
        <v>3.45</v>
      </c>
      <c r="AG81" s="191">
        <v>5.1100000000000003</v>
      </c>
    </row>
    <row r="82" spans="27:33" ht="24.75" customHeight="1">
      <c r="AB82" s="19"/>
      <c r="AC82" s="1485" t="s">
        <v>53</v>
      </c>
      <c r="AD82" s="1486"/>
      <c r="AE82" s="190">
        <v>8.0500000000000007</v>
      </c>
      <c r="AF82" s="192">
        <v>10.3</v>
      </c>
      <c r="AG82" s="193">
        <v>15.3</v>
      </c>
    </row>
    <row r="83" spans="27:33" ht="24.75" customHeight="1">
      <c r="AB83" s="19"/>
      <c r="AC83" s="1483" t="s">
        <v>54</v>
      </c>
      <c r="AD83" s="1484"/>
      <c r="AE83" s="192">
        <v>13.4</v>
      </c>
      <c r="AF83" s="192">
        <v>17.2</v>
      </c>
      <c r="AG83" s="193">
        <v>25.5</v>
      </c>
    </row>
    <row r="84" spans="27:33" ht="24.75" customHeight="1">
      <c r="AB84" s="19"/>
      <c r="AC84" s="1483" t="s">
        <v>55</v>
      </c>
      <c r="AD84" s="1484"/>
      <c r="AE84" s="192">
        <v>20.100000000000001</v>
      </c>
      <c r="AF84" s="192">
        <v>25.8</v>
      </c>
      <c r="AG84" s="193">
        <v>38.4</v>
      </c>
    </row>
    <row r="85" spans="27:33" ht="24.75" customHeight="1">
      <c r="AB85" s="19"/>
      <c r="AC85" s="1483" t="s">
        <v>56</v>
      </c>
      <c r="AD85" s="1484"/>
      <c r="AE85" s="192">
        <v>45.6</v>
      </c>
      <c r="AF85" s="192">
        <v>58.6</v>
      </c>
      <c r="AG85" s="193">
        <v>86.9</v>
      </c>
    </row>
    <row r="86" spans="27:33" ht="24.75" customHeight="1">
      <c r="AB86" s="19"/>
      <c r="AC86" s="1483" t="s">
        <v>57</v>
      </c>
      <c r="AD86" s="1484"/>
      <c r="AE86" s="190" t="s">
        <v>596</v>
      </c>
      <c r="AF86" s="190">
        <v>7.75</v>
      </c>
      <c r="AG86" s="193">
        <v>11.5</v>
      </c>
    </row>
    <row r="87" spans="27:33" ht="24.75" customHeight="1">
      <c r="AB87" s="19"/>
    </row>
    <row r="88" spans="27:33" ht="24.75" customHeight="1">
      <c r="AB88" s="19"/>
    </row>
    <row r="89" spans="27:33" ht="24.75" customHeight="1">
      <c r="AB89" s="19"/>
    </row>
    <row r="90" spans="27:33" ht="24.75" customHeight="1">
      <c r="AB90" s="19"/>
    </row>
    <row r="91" spans="27:33" ht="24.75" customHeight="1">
      <c r="AB91" s="19"/>
    </row>
    <row r="92" spans="27:33" ht="24.75" customHeight="1">
      <c r="AB92" s="19"/>
    </row>
    <row r="93" spans="27:33" ht="24.75" customHeight="1">
      <c r="AB93" s="19"/>
    </row>
    <row r="94" spans="27:33" ht="24.75" customHeight="1">
      <c r="AB94" s="19"/>
    </row>
    <row r="95" spans="27:33" ht="24.75" customHeight="1">
      <c r="AB95" s="19"/>
    </row>
    <row r="96" spans="27:33" ht="24.75" customHeight="1">
      <c r="AB96" s="19"/>
    </row>
    <row r="97" spans="28:28" ht="24.75" customHeight="1">
      <c r="AB97" s="19"/>
    </row>
    <row r="98" spans="28:28" ht="24.75" customHeight="1">
      <c r="AB98" s="19"/>
    </row>
    <row r="99" spans="28:28" ht="24.75" customHeight="1">
      <c r="AB99" s="19"/>
    </row>
    <row r="100" spans="28:28" ht="24.75" customHeight="1">
      <c r="AB100" s="19"/>
    </row>
    <row r="101" spans="28:28" ht="24.75" customHeight="1">
      <c r="AB101" s="19"/>
    </row>
    <row r="102" spans="28:28" ht="24.75" customHeight="1">
      <c r="AB102" s="19"/>
    </row>
    <row r="103" spans="28:28" ht="24.75" customHeight="1">
      <c r="AB103" s="19"/>
    </row>
    <row r="104" spans="28:28" ht="24.75" customHeight="1">
      <c r="AB104" s="19"/>
    </row>
    <row r="105" spans="28:28" ht="24.75" customHeight="1">
      <c r="AB105" s="19"/>
    </row>
    <row r="106" spans="28:28" ht="24.75" customHeight="1">
      <c r="AB106" s="19"/>
    </row>
    <row r="107" spans="28:28" ht="24.75" customHeight="1">
      <c r="AB107" s="19"/>
    </row>
    <row r="108" spans="28:28" ht="24.75" customHeight="1">
      <c r="AB108" s="19"/>
    </row>
    <row r="109" spans="28:28" ht="24.75" customHeight="1">
      <c r="AB109" s="19"/>
    </row>
    <row r="110" spans="28:28" ht="24.75" customHeight="1">
      <c r="AB110" s="19"/>
    </row>
    <row r="111" spans="28:28" ht="24.75" customHeight="1">
      <c r="AB111" s="19"/>
    </row>
    <row r="112" spans="28:28" ht="24.75" customHeight="1">
      <c r="AB112" s="19"/>
    </row>
    <row r="113" spans="28:28" ht="24.75" customHeight="1">
      <c r="AB113" s="19"/>
    </row>
    <row r="114" spans="28:28" ht="24.75" customHeight="1">
      <c r="AB114" s="19"/>
    </row>
    <row r="115" spans="28:28" ht="24.75" customHeight="1">
      <c r="AB115" s="19"/>
    </row>
    <row r="116" spans="28:28" ht="24.75" customHeight="1">
      <c r="AB116" s="19"/>
    </row>
    <row r="117" spans="28:28" ht="24.75" customHeight="1">
      <c r="AB117" s="19"/>
    </row>
    <row r="118" spans="28:28" ht="24.75" customHeight="1">
      <c r="AB118" s="19"/>
    </row>
    <row r="119" spans="28:28" ht="24.75" customHeight="1">
      <c r="AB119" s="19"/>
    </row>
    <row r="120" spans="28:28" ht="24.75" customHeight="1">
      <c r="AB120" s="19"/>
    </row>
    <row r="121" spans="28:28" ht="24.75" customHeight="1">
      <c r="AB121" s="19"/>
    </row>
    <row r="122" spans="28:28" ht="24.75" customHeight="1">
      <c r="AB122" s="19"/>
    </row>
    <row r="123" spans="28:28" ht="24.75" customHeight="1">
      <c r="AB123" s="19"/>
    </row>
    <row r="124" spans="28:28" ht="24.75" customHeight="1">
      <c r="AB124" s="19"/>
    </row>
    <row r="125" spans="28:28" ht="24.75" customHeight="1">
      <c r="AB125" s="19"/>
    </row>
    <row r="126" spans="28:28" ht="24.75" customHeight="1">
      <c r="AB126" s="19"/>
    </row>
    <row r="127" spans="28:28" ht="24.75" customHeight="1">
      <c r="AB127" s="19"/>
    </row>
    <row r="128" spans="28:28" ht="24.75" customHeight="1">
      <c r="AB128" s="19"/>
    </row>
  </sheetData>
  <sheetProtection sheet="1" objects="1" scenarios="1"/>
  <customSheetViews>
    <customSheetView guid="{D1431318-1DB8-4C45-813B-5A8065DFC797}" showPageBreaks="1" showGridLines="0" zeroValues="0" printArea="1" view="pageBreakPreview">
      <selection activeCell="F20" sqref="F20:G20"/>
      <pageMargins left="0.4" right="0.4" top="0.4" bottom="0.4" header="0.5" footer="0.5"/>
      <printOptions horizontalCentered="1"/>
      <pageSetup scale="74" orientation="portrait" blackAndWhite="1" r:id="rId1"/>
      <headerFooter alignWithMargins="0"/>
    </customSheetView>
  </customSheetViews>
  <mergeCells count="103">
    <mergeCell ref="F1:N1"/>
    <mergeCell ref="K5:L5"/>
    <mergeCell ref="A52:T52"/>
    <mergeCell ref="B15:E15"/>
    <mergeCell ref="A13:T13"/>
    <mergeCell ref="O17:P17"/>
    <mergeCell ref="I17:L19"/>
    <mergeCell ref="B4:H4"/>
    <mergeCell ref="F19:G19"/>
    <mergeCell ref="N5:O5"/>
    <mergeCell ref="L11:M11"/>
    <mergeCell ref="K6:L6"/>
    <mergeCell ref="F17:G17"/>
    <mergeCell ref="F15:G15"/>
    <mergeCell ref="B16:H16"/>
    <mergeCell ref="M17:N17"/>
    <mergeCell ref="N11:O11"/>
    <mergeCell ref="K9:L9"/>
    <mergeCell ref="K7:L7"/>
    <mergeCell ref="I2:J2"/>
    <mergeCell ref="K2:L2"/>
    <mergeCell ref="G11:H11"/>
    <mergeCell ref="J11:K11"/>
    <mergeCell ref="D47:E47"/>
    <mergeCell ref="AC86:AD86"/>
    <mergeCell ref="AC82:AD82"/>
    <mergeCell ref="AC77:AD77"/>
    <mergeCell ref="AC78:AD78"/>
    <mergeCell ref="AC79:AD79"/>
    <mergeCell ref="K39:L39"/>
    <mergeCell ref="K50:L50"/>
    <mergeCell ref="N39:T40"/>
    <mergeCell ref="K30:L30"/>
    <mergeCell ref="K35:L35"/>
    <mergeCell ref="K34:L34"/>
    <mergeCell ref="K32:L32"/>
    <mergeCell ref="K31:L31"/>
    <mergeCell ref="P47:Q47"/>
    <mergeCell ref="M47:N47"/>
    <mergeCell ref="K36:L36"/>
    <mergeCell ref="A53:G53"/>
    <mergeCell ref="AC80:AD80"/>
    <mergeCell ref="AC81:AD81"/>
    <mergeCell ref="AC85:AD85"/>
    <mergeCell ref="AC83:AD83"/>
    <mergeCell ref="AC84:AD84"/>
    <mergeCell ref="A54:C54"/>
    <mergeCell ref="H53:I53"/>
    <mergeCell ref="N53:O53"/>
    <mergeCell ref="D54:T54"/>
    <mergeCell ref="E42:F42"/>
    <mergeCell ref="H42:I42"/>
    <mergeCell ref="B37:D37"/>
    <mergeCell ref="B42:C42"/>
    <mergeCell ref="H47:I47"/>
    <mergeCell ref="D50:E50"/>
    <mergeCell ref="H50:I50"/>
    <mergeCell ref="B47:C47"/>
    <mergeCell ref="B48:S48"/>
    <mergeCell ref="B45:C45"/>
    <mergeCell ref="H45:K45"/>
    <mergeCell ref="D45:F45"/>
    <mergeCell ref="K37:L37"/>
    <mergeCell ref="H36:I36"/>
    <mergeCell ref="E30:F30"/>
    <mergeCell ref="B32:D32"/>
    <mergeCell ref="B33:D33"/>
    <mergeCell ref="E37:F37"/>
    <mergeCell ref="H37:I37"/>
    <mergeCell ref="K33:L33"/>
    <mergeCell ref="H33:I33"/>
    <mergeCell ref="H32:I32"/>
    <mergeCell ref="H31:I31"/>
    <mergeCell ref="H35:I35"/>
    <mergeCell ref="E35:F35"/>
    <mergeCell ref="E33:F33"/>
    <mergeCell ref="E31:F31"/>
    <mergeCell ref="E34:F34"/>
    <mergeCell ref="H34:I34"/>
    <mergeCell ref="K25:L26"/>
    <mergeCell ref="B25:D26"/>
    <mergeCell ref="B36:D36"/>
    <mergeCell ref="B35:D35"/>
    <mergeCell ref="B34:D34"/>
    <mergeCell ref="B29:D29"/>
    <mergeCell ref="B28:D28"/>
    <mergeCell ref="B30:D30"/>
    <mergeCell ref="B27:D27"/>
    <mergeCell ref="E25:F26"/>
    <mergeCell ref="H27:I27"/>
    <mergeCell ref="H25:I26"/>
    <mergeCell ref="H30:I30"/>
    <mergeCell ref="E32:F32"/>
    <mergeCell ref="E28:F28"/>
    <mergeCell ref="E29:F29"/>
    <mergeCell ref="K27:L27"/>
    <mergeCell ref="E27:F27"/>
    <mergeCell ref="B31:D31"/>
    <mergeCell ref="H28:I28"/>
    <mergeCell ref="H29:I29"/>
    <mergeCell ref="K29:L29"/>
    <mergeCell ref="K28:L28"/>
    <mergeCell ref="E36:F36"/>
  </mergeCells>
  <phoneticPr fontId="17" type="noConversion"/>
  <dataValidations count="2">
    <dataValidation type="decimal" allowBlank="1" showInputMessage="1" showErrorMessage="1" sqref="K6" xr:uid="{00000000-0002-0000-1200-000000000000}">
      <formula1>10</formula1>
      <formula2>45</formula2>
    </dataValidation>
    <dataValidation type="list" allowBlank="1" showInputMessage="1" showErrorMessage="1" sqref="F17:G17" xr:uid="{00000000-0002-0000-1200-000001000000}">
      <formula1>PipeDia</formula1>
    </dataValidation>
  </dataValidations>
  <printOptions horizontalCentered="1"/>
  <pageMargins left="0.4" right="0.4" top="0.4" bottom="0.4" header="0.5" footer="0.5"/>
  <pageSetup scale="74" orientation="portrait" blackAndWhite="1" r:id="rId2"/>
  <headerFooter alignWithMargins="0"/>
  <drawing r:id="rId3"/>
  <legacyDrawing r:id="rId4"/>
  <oleObjects>
    <mc:AlternateContent xmlns:mc="http://schemas.openxmlformats.org/markup-compatibility/2006">
      <mc:Choice Requires="x14">
        <oleObject progId="Equation.3" shapeId="43019" r:id="rId5">
          <objectPr defaultSize="0" autoPict="0" r:id="rId6">
            <anchor moveWithCells="1" sizeWithCells="1">
              <from>
                <xdr:col>13</xdr:col>
                <xdr:colOff>257175</xdr:colOff>
                <xdr:row>32</xdr:row>
                <xdr:rowOff>95250</xdr:rowOff>
              </from>
              <to>
                <xdr:col>18</xdr:col>
                <xdr:colOff>57150</xdr:colOff>
                <xdr:row>34</xdr:row>
                <xdr:rowOff>123825</xdr:rowOff>
              </to>
            </anchor>
          </objectPr>
        </oleObject>
      </mc:Choice>
      <mc:Fallback>
        <oleObject progId="Equation.3" shapeId="43019" r:id="rId5"/>
      </mc:Fallback>
    </mc:AlternateContent>
  </oleObjects>
  <mc:AlternateContent xmlns:mc="http://schemas.openxmlformats.org/markup-compatibility/2006">
    <mc:Choice Requires="x14">
      <controls>
        <mc:AlternateContent xmlns:mc="http://schemas.openxmlformats.org/markup-compatibility/2006">
          <mc:Choice Requires="x14">
            <control shapeId="43558" r:id="rId7" name="Option Button 550">
              <controlPr defaultSize="0" autoFill="0" autoLine="0" autoPict="0" altText="Gravity Distribution">
                <anchor moveWithCells="1">
                  <from>
                    <xdr:col>7</xdr:col>
                    <xdr:colOff>85725</xdr:colOff>
                    <xdr:row>3</xdr:row>
                    <xdr:rowOff>28575</xdr:rowOff>
                  </from>
                  <to>
                    <xdr:col>8</xdr:col>
                    <xdr:colOff>333375</xdr:colOff>
                    <xdr:row>3</xdr:row>
                    <xdr:rowOff>190500</xdr:rowOff>
                  </to>
                </anchor>
              </controlPr>
            </control>
          </mc:Choice>
        </mc:AlternateContent>
        <mc:AlternateContent xmlns:mc="http://schemas.openxmlformats.org/markup-compatibility/2006">
          <mc:Choice Requires="x14">
            <control shapeId="43560" r:id="rId8" name="Option Button 552">
              <controlPr defaultSize="0" autoFill="0" autoLine="0" autoPict="0" altText="Gravity Distribution">
                <anchor moveWithCells="1">
                  <from>
                    <xdr:col>8</xdr:col>
                    <xdr:colOff>228600</xdr:colOff>
                    <xdr:row>3</xdr:row>
                    <xdr:rowOff>28575</xdr:rowOff>
                  </from>
                  <to>
                    <xdr:col>10</xdr:col>
                    <xdr:colOff>95250</xdr:colOff>
                    <xdr:row>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7">
    <tabColor rgb="FFFFFF00"/>
  </sheetPr>
  <dimension ref="A1:K41"/>
  <sheetViews>
    <sheetView zoomScaleNormal="100" workbookViewId="0">
      <selection activeCell="N40" sqref="N40"/>
    </sheetView>
  </sheetViews>
  <sheetFormatPr defaultColWidth="9.140625" defaultRowHeight="15"/>
  <cols>
    <col min="1" max="11" width="10.7109375" style="550" customWidth="1"/>
    <col min="12" max="16384" width="9.140625" style="550"/>
  </cols>
  <sheetData>
    <row r="1" spans="1:11" ht="63" customHeight="1">
      <c r="A1" s="548"/>
      <c r="B1" s="549"/>
      <c r="C1" s="1029" t="s">
        <v>1296</v>
      </c>
      <c r="D1" s="1029"/>
      <c r="E1" s="1029"/>
      <c r="F1" s="1029"/>
      <c r="G1" s="1029"/>
      <c r="H1" s="1029"/>
      <c r="I1" s="549"/>
      <c r="J1" s="549"/>
      <c r="K1" s="549"/>
    </row>
    <row r="2" spans="1:11" ht="47.25" customHeight="1">
      <c r="A2" s="1030" t="s">
        <v>1297</v>
      </c>
      <c r="B2" s="1031"/>
      <c r="C2" s="1031"/>
      <c r="D2" s="1031"/>
      <c r="E2" s="1031"/>
      <c r="F2" s="1031"/>
      <c r="G2" s="1031"/>
      <c r="H2" s="1031"/>
      <c r="I2" s="1031"/>
      <c r="J2" s="1031"/>
      <c r="K2" s="1032"/>
    </row>
    <row r="3" spans="1:11" ht="6" customHeight="1">
      <c r="A3" s="1026"/>
      <c r="B3" s="1027"/>
      <c r="C3" s="1027"/>
      <c r="D3" s="1027"/>
      <c r="E3" s="1027"/>
      <c r="F3" s="1027"/>
      <c r="G3" s="1027"/>
      <c r="H3" s="1027"/>
      <c r="I3" s="1027"/>
      <c r="J3" s="1027"/>
      <c r="K3" s="1028"/>
    </row>
    <row r="4" spans="1:11" ht="15.75">
      <c r="A4" s="551" t="str">
        <f>'Drop-Down Lists'!J40</f>
        <v>v 04.20.2016</v>
      </c>
      <c r="B4" s="552" t="s">
        <v>904</v>
      </c>
      <c r="C4" s="553"/>
      <c r="D4" s="553"/>
      <c r="E4" s="553" t="s">
        <v>908</v>
      </c>
      <c r="F4" s="553"/>
      <c r="G4" s="553"/>
      <c r="H4" s="552" t="s">
        <v>929</v>
      </c>
      <c r="I4" s="553"/>
      <c r="J4" s="553"/>
      <c r="K4" s="554"/>
    </row>
    <row r="5" spans="1:11" ht="15.75">
      <c r="A5" s="551"/>
      <c r="B5" s="552" t="s">
        <v>905</v>
      </c>
      <c r="C5" s="553"/>
      <c r="D5" s="553"/>
      <c r="E5" s="552" t="s">
        <v>909</v>
      </c>
      <c r="F5" s="553"/>
      <c r="G5" s="553"/>
      <c r="H5" s="552" t="s">
        <v>1298</v>
      </c>
      <c r="I5" s="553"/>
      <c r="J5" s="553"/>
      <c r="K5" s="554"/>
    </row>
    <row r="6" spans="1:11" ht="15.75">
      <c r="A6" s="551"/>
      <c r="B6" s="552" t="s">
        <v>906</v>
      </c>
      <c r="C6" s="553"/>
      <c r="D6" s="553"/>
      <c r="E6" s="552" t="s">
        <v>930</v>
      </c>
      <c r="F6" s="553"/>
      <c r="G6" s="553"/>
      <c r="H6" s="552" t="s">
        <v>1299</v>
      </c>
      <c r="I6" s="553"/>
      <c r="J6" s="553"/>
      <c r="K6" s="554"/>
    </row>
    <row r="7" spans="1:11" ht="15.75">
      <c r="A7" s="551"/>
      <c r="B7" s="552" t="s">
        <v>907</v>
      </c>
      <c r="C7" s="553"/>
      <c r="D7" s="553"/>
      <c r="E7" s="552" t="s">
        <v>931</v>
      </c>
      <c r="F7" s="553"/>
      <c r="G7" s="553"/>
      <c r="I7" s="553"/>
      <c r="J7" s="553"/>
      <c r="K7" s="554"/>
    </row>
    <row r="8" spans="1:11" ht="6" customHeight="1">
      <c r="A8" s="555"/>
      <c r="B8" s="553"/>
      <c r="C8" s="553"/>
      <c r="D8" s="553"/>
      <c r="E8" s="553"/>
      <c r="F8" s="553"/>
      <c r="G8" s="553"/>
      <c r="H8" s="553"/>
      <c r="I8" s="553"/>
      <c r="J8" s="553"/>
      <c r="K8" s="554"/>
    </row>
    <row r="9" spans="1:11" ht="16.149999999999999" customHeight="1">
      <c r="A9" s="1033" t="s">
        <v>1016</v>
      </c>
      <c r="B9" s="1024"/>
      <c r="C9" s="1024"/>
      <c r="D9" s="1024"/>
      <c r="E9" s="1024"/>
      <c r="F9" s="1024"/>
      <c r="G9" s="1024"/>
      <c r="H9" s="1024"/>
      <c r="I9" s="1024"/>
      <c r="J9" s="1024"/>
      <c r="K9" s="1025"/>
    </row>
    <row r="10" spans="1:11" ht="15.75">
      <c r="A10" s="555" t="s">
        <v>910</v>
      </c>
      <c r="B10" s="553"/>
      <c r="C10" s="553"/>
      <c r="D10" s="553"/>
      <c r="E10" s="553"/>
      <c r="F10" s="553"/>
      <c r="G10" s="553"/>
      <c r="H10" s="553"/>
      <c r="I10" s="553"/>
      <c r="J10" s="553"/>
      <c r="K10" s="554"/>
    </row>
    <row r="11" spans="1:11" ht="33" customHeight="1">
      <c r="A11" s="1034" t="s">
        <v>911</v>
      </c>
      <c r="B11" s="1024"/>
      <c r="C11" s="1024"/>
      <c r="D11" s="1024"/>
      <c r="E11" s="1024"/>
      <c r="F11" s="1024"/>
      <c r="G11" s="1024"/>
      <c r="H11" s="1024"/>
      <c r="I11" s="1024"/>
      <c r="J11" s="1024"/>
      <c r="K11" s="1025"/>
    </row>
    <row r="12" spans="1:11" ht="15.75">
      <c r="A12" s="1034" t="s">
        <v>912</v>
      </c>
      <c r="B12" s="1024"/>
      <c r="C12" s="1024"/>
      <c r="D12" s="1024"/>
      <c r="E12" s="1024"/>
      <c r="F12" s="1024"/>
      <c r="G12" s="1024"/>
      <c r="H12" s="1024"/>
      <c r="I12" s="1024"/>
      <c r="J12" s="1024"/>
      <c r="K12" s="1025"/>
    </row>
    <row r="13" spans="1:11" ht="15.75">
      <c r="A13" s="1035" t="s">
        <v>913</v>
      </c>
      <c r="B13" s="1036"/>
      <c r="C13" s="1036"/>
      <c r="D13" s="1036"/>
      <c r="E13" s="1036"/>
      <c r="F13" s="1036"/>
      <c r="G13" s="1036"/>
      <c r="H13" s="1036"/>
      <c r="I13" s="1036"/>
      <c r="J13" s="1036"/>
      <c r="K13" s="1037"/>
    </row>
    <row r="14" spans="1:11">
      <c r="A14" s="1038" t="s">
        <v>914</v>
      </c>
      <c r="B14" s="1039"/>
      <c r="C14" s="1039"/>
      <c r="D14" s="1039"/>
      <c r="E14" s="1039"/>
      <c r="F14" s="1039"/>
      <c r="G14" s="1039"/>
      <c r="H14" s="1039"/>
      <c r="I14" s="1039"/>
      <c r="J14" s="1039"/>
      <c r="K14" s="1040"/>
    </row>
    <row r="15" spans="1:11" ht="6" customHeight="1">
      <c r="A15" s="1026"/>
      <c r="B15" s="1027"/>
      <c r="C15" s="1027"/>
      <c r="D15" s="1027"/>
      <c r="E15" s="1027"/>
      <c r="F15" s="1027"/>
      <c r="G15" s="1027"/>
      <c r="H15" s="1027"/>
      <c r="I15" s="1027"/>
      <c r="J15" s="1027"/>
      <c r="K15" s="1028"/>
    </row>
    <row r="16" spans="1:11" ht="33" customHeight="1">
      <c r="A16" s="1023" t="s">
        <v>915</v>
      </c>
      <c r="B16" s="1024"/>
      <c r="C16" s="1024"/>
      <c r="D16" s="1024"/>
      <c r="E16" s="1024"/>
      <c r="F16" s="1024"/>
      <c r="G16" s="1024"/>
      <c r="H16" s="1024"/>
      <c r="I16" s="1024"/>
      <c r="J16" s="1024"/>
      <c r="K16" s="1025"/>
    </row>
    <row r="17" spans="1:11" ht="6" customHeight="1">
      <c r="A17" s="1026"/>
      <c r="B17" s="1027"/>
      <c r="C17" s="1027"/>
      <c r="D17" s="1027"/>
      <c r="E17" s="1027"/>
      <c r="F17" s="1027"/>
      <c r="G17" s="1027"/>
      <c r="H17" s="1027"/>
      <c r="I17" s="1027"/>
      <c r="J17" s="1027"/>
      <c r="K17" s="1028"/>
    </row>
    <row r="18" spans="1:11" ht="15.75">
      <c r="A18" s="1023" t="s">
        <v>916</v>
      </c>
      <c r="B18" s="1024"/>
      <c r="C18" s="1024"/>
      <c r="D18" s="1024"/>
      <c r="E18" s="1024"/>
      <c r="F18" s="1024"/>
      <c r="G18" s="1024"/>
      <c r="H18" s="1024"/>
      <c r="I18" s="1024"/>
      <c r="J18" s="1024"/>
      <c r="K18" s="1025"/>
    </row>
    <row r="19" spans="1:11" ht="15.75">
      <c r="A19" s="1035" t="s">
        <v>917</v>
      </c>
      <c r="B19" s="1036"/>
      <c r="C19" s="1036"/>
      <c r="D19" s="1036"/>
      <c r="E19" s="1036"/>
      <c r="F19" s="1036"/>
      <c r="G19" s="1036"/>
      <c r="H19" s="1036"/>
      <c r="I19" s="1036"/>
      <c r="J19" s="1036"/>
      <c r="K19" s="1037"/>
    </row>
    <row r="20" spans="1:11">
      <c r="A20" s="1038" t="s">
        <v>1294</v>
      </c>
      <c r="B20" s="1039"/>
      <c r="C20" s="1039"/>
      <c r="D20" s="1039"/>
      <c r="E20" s="1039"/>
      <c r="F20" s="1039"/>
      <c r="G20" s="1039"/>
      <c r="H20" s="1039"/>
      <c r="I20" s="1039"/>
      <c r="J20" s="1039"/>
      <c r="K20" s="1040"/>
    </row>
    <row r="21" spans="1:11" ht="6" customHeight="1">
      <c r="A21" s="1026"/>
      <c r="B21" s="1027"/>
      <c r="C21" s="1027"/>
      <c r="D21" s="1027"/>
      <c r="E21" s="1027"/>
      <c r="F21" s="1027"/>
      <c r="G21" s="1027"/>
      <c r="H21" s="1027"/>
      <c r="I21" s="1027"/>
      <c r="J21" s="1027"/>
      <c r="K21" s="1028"/>
    </row>
    <row r="22" spans="1:11" ht="43.5" customHeight="1">
      <c r="A22" s="1023" t="s">
        <v>1295</v>
      </c>
      <c r="B22" s="1024"/>
      <c r="C22" s="1024"/>
      <c r="D22" s="1024"/>
      <c r="E22" s="1024"/>
      <c r="F22" s="1024"/>
      <c r="G22" s="1024"/>
      <c r="H22" s="1024"/>
      <c r="I22" s="1024"/>
      <c r="J22" s="1024"/>
      <c r="K22" s="1025"/>
    </row>
    <row r="23" spans="1:11" ht="6" customHeight="1">
      <c r="A23" s="1026"/>
      <c r="B23" s="1027"/>
      <c r="C23" s="1027"/>
      <c r="D23" s="1027"/>
      <c r="E23" s="1027"/>
      <c r="F23" s="1027"/>
      <c r="G23" s="1027"/>
      <c r="H23" s="1027"/>
      <c r="I23" s="1027"/>
      <c r="J23" s="1027"/>
      <c r="K23" s="1028"/>
    </row>
    <row r="24" spans="1:11" ht="15.75">
      <c r="A24" s="1023" t="s">
        <v>918</v>
      </c>
      <c r="B24" s="1024"/>
      <c r="C24" s="1024"/>
      <c r="D24" s="1024"/>
      <c r="E24" s="1024"/>
      <c r="F24" s="1024"/>
      <c r="G24" s="1024"/>
      <c r="H24" s="1024"/>
      <c r="I24" s="1024"/>
      <c r="J24" s="1024"/>
      <c r="K24" s="1025"/>
    </row>
    <row r="25" spans="1:11" ht="15.75">
      <c r="A25" s="1041" t="s">
        <v>919</v>
      </c>
      <c r="B25" s="1042"/>
      <c r="C25" s="1042"/>
      <c r="D25" s="1042"/>
      <c r="E25" s="1042"/>
      <c r="F25" s="1042"/>
      <c r="G25" s="1042"/>
      <c r="H25" s="1042"/>
      <c r="I25" s="1042"/>
      <c r="J25" s="1042"/>
      <c r="K25" s="1043"/>
    </row>
    <row r="26" spans="1:11" ht="62.25" customHeight="1">
      <c r="A26" s="1044" t="s">
        <v>920</v>
      </c>
      <c r="B26" s="1045"/>
      <c r="C26" s="1045"/>
      <c r="D26" s="1045"/>
      <c r="E26" s="1045"/>
      <c r="F26" s="1045"/>
      <c r="G26" s="1045"/>
      <c r="H26" s="1045"/>
      <c r="I26" s="1045"/>
      <c r="J26" s="1045"/>
      <c r="K26" s="1046"/>
    </row>
    <row r="27" spans="1:11" ht="6" customHeight="1">
      <c r="A27" s="1026"/>
      <c r="B27" s="1027"/>
      <c r="C27" s="1027"/>
      <c r="D27" s="1027"/>
      <c r="E27" s="1027"/>
      <c r="F27" s="1027"/>
      <c r="G27" s="1027"/>
      <c r="H27" s="1027"/>
      <c r="I27" s="1027"/>
      <c r="J27" s="1027"/>
      <c r="K27" s="1028"/>
    </row>
    <row r="28" spans="1:11" ht="15.75">
      <c r="A28" s="1035" t="s">
        <v>921</v>
      </c>
      <c r="B28" s="1036"/>
      <c r="C28" s="1036"/>
      <c r="D28" s="1036"/>
      <c r="E28" s="1036"/>
      <c r="F28" s="1036"/>
      <c r="G28" s="1036"/>
      <c r="H28" s="1036"/>
      <c r="I28" s="1036"/>
      <c r="J28" s="1036"/>
      <c r="K28" s="1037"/>
    </row>
    <row r="29" spans="1:11" ht="49.5" customHeight="1">
      <c r="A29" s="1023" t="s">
        <v>922</v>
      </c>
      <c r="B29" s="1024"/>
      <c r="C29" s="1024"/>
      <c r="D29" s="1024"/>
      <c r="E29" s="1024"/>
      <c r="F29" s="1024"/>
      <c r="G29" s="1024"/>
      <c r="H29" s="1024"/>
      <c r="I29" s="1024"/>
      <c r="J29" s="1024"/>
      <c r="K29" s="1025"/>
    </row>
    <row r="30" spans="1:11" ht="6" customHeight="1">
      <c r="A30" s="1026"/>
      <c r="B30" s="1027"/>
      <c r="C30" s="1027"/>
      <c r="D30" s="1027"/>
      <c r="E30" s="1027"/>
      <c r="F30" s="1027"/>
      <c r="G30" s="1027"/>
      <c r="H30" s="1027"/>
      <c r="I30" s="1027"/>
      <c r="J30" s="1027"/>
      <c r="K30" s="1028"/>
    </row>
    <row r="31" spans="1:11" ht="49.5" customHeight="1">
      <c r="A31" s="1023" t="s">
        <v>923</v>
      </c>
      <c r="B31" s="1024"/>
      <c r="C31" s="1024"/>
      <c r="D31" s="1024"/>
      <c r="E31" s="1024"/>
      <c r="F31" s="1024"/>
      <c r="G31" s="1024"/>
      <c r="H31" s="1024"/>
      <c r="I31" s="1024"/>
      <c r="J31" s="1024"/>
      <c r="K31" s="1025"/>
    </row>
    <row r="32" spans="1:11" ht="6" customHeight="1">
      <c r="A32" s="1050"/>
      <c r="B32" s="1051"/>
      <c r="C32" s="1051"/>
      <c r="D32" s="1051"/>
      <c r="E32" s="1051"/>
      <c r="F32" s="1051"/>
      <c r="G32" s="1051"/>
      <c r="H32" s="1051"/>
      <c r="I32" s="1051"/>
      <c r="J32" s="1051"/>
      <c r="K32" s="1052"/>
    </row>
    <row r="33" spans="1:11" ht="15.75">
      <c r="A33" s="1035" t="s">
        <v>924</v>
      </c>
      <c r="B33" s="1036"/>
      <c r="C33" s="1036"/>
      <c r="D33" s="1036"/>
      <c r="E33" s="1036"/>
      <c r="F33" s="1036"/>
      <c r="G33" s="1036"/>
      <c r="H33" s="1036"/>
      <c r="I33" s="1036"/>
      <c r="J33" s="1036"/>
      <c r="K33" s="1037"/>
    </row>
    <row r="34" spans="1:11" ht="68.25" customHeight="1">
      <c r="A34" s="1047" t="s">
        <v>925</v>
      </c>
      <c r="B34" s="1048"/>
      <c r="C34" s="1048"/>
      <c r="D34" s="1048"/>
      <c r="E34" s="1048"/>
      <c r="F34" s="1048"/>
      <c r="G34" s="1048"/>
      <c r="H34" s="1048"/>
      <c r="I34" s="1048"/>
      <c r="J34" s="1048"/>
      <c r="K34" s="1049"/>
    </row>
    <row r="35" spans="1:11" ht="15.75">
      <c r="A35" s="1035" t="s">
        <v>926</v>
      </c>
      <c r="B35" s="1036"/>
      <c r="C35" s="1036"/>
      <c r="D35" s="1036"/>
      <c r="E35" s="1036"/>
      <c r="F35" s="1036"/>
      <c r="G35" s="1036"/>
      <c r="H35" s="1036"/>
      <c r="I35" s="1036"/>
      <c r="J35" s="1036"/>
      <c r="K35" s="1037"/>
    </row>
    <row r="36" spans="1:11" ht="61.5" customHeight="1">
      <c r="A36" s="1023" t="s">
        <v>927</v>
      </c>
      <c r="B36" s="1024"/>
      <c r="C36" s="1024"/>
      <c r="D36" s="1024"/>
      <c r="E36" s="1024"/>
      <c r="F36" s="1024"/>
      <c r="G36" s="1024"/>
      <c r="H36" s="1024"/>
      <c r="I36" s="1024"/>
      <c r="J36" s="1024"/>
      <c r="K36" s="1025"/>
    </row>
    <row r="37" spans="1:11" ht="6" customHeight="1">
      <c r="A37" s="1026"/>
      <c r="B37" s="1027"/>
      <c r="C37" s="1027"/>
      <c r="D37" s="1027"/>
      <c r="E37" s="1027"/>
      <c r="F37" s="1027"/>
      <c r="G37" s="1027"/>
      <c r="H37" s="1027"/>
      <c r="I37" s="1027"/>
      <c r="J37" s="1027"/>
      <c r="K37" s="1028"/>
    </row>
    <row r="38" spans="1:11" ht="15.75">
      <c r="A38" s="1035" t="s">
        <v>928</v>
      </c>
      <c r="B38" s="1036"/>
      <c r="C38" s="1036"/>
      <c r="D38" s="1036"/>
      <c r="E38" s="1036"/>
      <c r="F38" s="1036"/>
      <c r="G38" s="1036"/>
      <c r="H38" s="1036"/>
      <c r="I38" s="1036"/>
      <c r="J38" s="1036"/>
      <c r="K38" s="1037"/>
    </row>
    <row r="39" spans="1:11" ht="6" customHeight="1">
      <c r="A39" s="555"/>
      <c r="B39" s="553"/>
      <c r="C39" s="553"/>
      <c r="D39" s="553"/>
      <c r="E39" s="553"/>
      <c r="F39" s="553"/>
      <c r="G39" s="553"/>
      <c r="H39" s="553"/>
      <c r="I39" s="553"/>
      <c r="J39" s="553"/>
      <c r="K39" s="554"/>
    </row>
    <row r="40" spans="1:11" ht="57" customHeight="1">
      <c r="A40" s="1047" t="s">
        <v>1300</v>
      </c>
      <c r="B40" s="1048"/>
      <c r="C40" s="1048"/>
      <c r="D40" s="1048"/>
      <c r="E40" s="1048"/>
      <c r="F40" s="1048"/>
      <c r="G40" s="1048"/>
      <c r="H40" s="1048"/>
      <c r="I40" s="1048"/>
      <c r="J40" s="1048"/>
      <c r="K40" s="1049"/>
    </row>
    <row r="41" spans="1:11" ht="15.75">
      <c r="A41" s="553"/>
      <c r="B41" s="553"/>
      <c r="C41" s="553"/>
      <c r="D41" s="553"/>
      <c r="E41" s="553"/>
      <c r="F41" s="553"/>
      <c r="G41" s="553"/>
      <c r="H41" s="553"/>
      <c r="I41" s="553"/>
      <c r="J41" s="553"/>
      <c r="K41" s="553"/>
    </row>
  </sheetData>
  <sheetProtection sheet="1"/>
  <customSheetViews>
    <customSheetView guid="{D1431318-1DB8-4C45-813B-5A8065DFC797}" state="hidden">
      <selection activeCell="A2" sqref="A2:K2"/>
      <pageMargins left="0.7" right="0.7" top="0.75" bottom="0.75" header="0.3" footer="0.3"/>
      <pageSetup scale="74" orientation="portrait" blackAndWhite="1" r:id="rId1"/>
    </customSheetView>
  </customSheetViews>
  <mergeCells count="33">
    <mergeCell ref="A37:K37"/>
    <mergeCell ref="A38:K38"/>
    <mergeCell ref="A40:K40"/>
    <mergeCell ref="A31:K31"/>
    <mergeCell ref="A32:K32"/>
    <mergeCell ref="A33:K33"/>
    <mergeCell ref="A34:K34"/>
    <mergeCell ref="A35:K35"/>
    <mergeCell ref="A36:K36"/>
    <mergeCell ref="A30:K30"/>
    <mergeCell ref="A19:K19"/>
    <mergeCell ref="A20:K20"/>
    <mergeCell ref="A21:K21"/>
    <mergeCell ref="A22:K22"/>
    <mergeCell ref="A23:K23"/>
    <mergeCell ref="A24:K24"/>
    <mergeCell ref="A25:K25"/>
    <mergeCell ref="A26:K26"/>
    <mergeCell ref="A29:K29"/>
    <mergeCell ref="A28:K28"/>
    <mergeCell ref="A18:K18"/>
    <mergeCell ref="A27:K27"/>
    <mergeCell ref="C1:H1"/>
    <mergeCell ref="A2:K2"/>
    <mergeCell ref="A3:K3"/>
    <mergeCell ref="A9:K9"/>
    <mergeCell ref="A11:K11"/>
    <mergeCell ref="A12:K12"/>
    <mergeCell ref="A13:K13"/>
    <mergeCell ref="A14:K14"/>
    <mergeCell ref="A15:K15"/>
    <mergeCell ref="A16:K16"/>
    <mergeCell ref="A17:K17"/>
  </mergeCells>
  <hyperlinks>
    <hyperlink ref="A9" r:id="rId2" display="http://www.openoffice.org/" xr:uid="{00000000-0004-0000-0100-000000000000}"/>
  </hyperlinks>
  <pageMargins left="0.7" right="0.7" top="0.75" bottom="0.75" header="0.3" footer="0.3"/>
  <pageSetup scale="74" orientation="portrait" blackAndWhite="1"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tabColor rgb="FFFFFF99"/>
  </sheetPr>
  <dimension ref="A1:F31"/>
  <sheetViews>
    <sheetView view="pageBreakPreview" zoomScale="60" zoomScaleNormal="100" workbookViewId="0">
      <selection activeCell="K8" sqref="K8"/>
    </sheetView>
  </sheetViews>
  <sheetFormatPr defaultColWidth="9.140625" defaultRowHeight="15"/>
  <cols>
    <col min="1" max="1" width="26.140625" style="268" customWidth="1"/>
    <col min="2" max="2" width="18.7109375" style="268" customWidth="1"/>
    <col min="3" max="3" width="13.7109375" style="268" customWidth="1"/>
    <col min="4" max="4" width="14.28515625" style="268" customWidth="1"/>
    <col min="5" max="5" width="14.42578125" style="268" customWidth="1"/>
    <col min="6" max="6" width="14.7109375" style="268" customWidth="1"/>
    <col min="7" max="16384" width="9.140625" style="268"/>
  </cols>
  <sheetData>
    <row r="1" spans="1:6" ht="26.25" customHeight="1">
      <c r="A1" s="1558" t="s">
        <v>837</v>
      </c>
      <c r="B1" s="1558"/>
      <c r="C1" s="1558"/>
      <c r="D1" s="1558"/>
      <c r="E1" s="1558"/>
      <c r="F1" s="1558"/>
    </row>
    <row r="2" spans="1:6" ht="39" customHeight="1">
      <c r="A2" s="1559" t="s">
        <v>734</v>
      </c>
      <c r="B2" s="1559"/>
      <c r="C2" s="1559"/>
      <c r="D2" s="1559"/>
      <c r="E2" s="1559"/>
      <c r="F2" s="1559"/>
    </row>
    <row r="3" spans="1:6" ht="29.25" customHeight="1">
      <c r="A3" s="1560" t="s">
        <v>735</v>
      </c>
      <c r="B3" s="1560" t="s">
        <v>736</v>
      </c>
      <c r="C3" s="1562" t="s">
        <v>737</v>
      </c>
      <c r="D3" s="1562"/>
      <c r="E3" s="1562" t="s">
        <v>738</v>
      </c>
      <c r="F3" s="1562"/>
    </row>
    <row r="4" spans="1:6" ht="76.150000000000006" customHeight="1">
      <c r="A4" s="1561"/>
      <c r="B4" s="1561"/>
      <c r="C4" s="457" t="s">
        <v>838</v>
      </c>
      <c r="D4" s="457" t="s">
        <v>601</v>
      </c>
      <c r="E4" s="457" t="s">
        <v>838</v>
      </c>
      <c r="F4" s="457" t="s">
        <v>601</v>
      </c>
    </row>
    <row r="5" spans="1:6" ht="79.5" customHeight="1">
      <c r="A5" s="440" t="s">
        <v>739</v>
      </c>
      <c r="B5" s="440" t="s">
        <v>740</v>
      </c>
      <c r="C5" s="458" t="s">
        <v>741</v>
      </c>
      <c r="D5" s="382">
        <v>1</v>
      </c>
      <c r="E5" s="458" t="s">
        <v>741</v>
      </c>
      <c r="F5" s="382">
        <v>1</v>
      </c>
    </row>
    <row r="6" spans="1:6" ht="60" customHeight="1">
      <c r="A6" s="459" t="s">
        <v>742</v>
      </c>
      <c r="B6" s="459" t="s">
        <v>740</v>
      </c>
      <c r="C6" s="460">
        <v>1.2</v>
      </c>
      <c r="D6" s="460">
        <v>1</v>
      </c>
      <c r="E6" s="460">
        <v>1.6</v>
      </c>
      <c r="F6" s="460">
        <v>1</v>
      </c>
    </row>
    <row r="7" spans="1:6" ht="60" customHeight="1">
      <c r="A7" s="440" t="s">
        <v>808</v>
      </c>
      <c r="B7" s="440" t="s">
        <v>740</v>
      </c>
      <c r="C7" s="382">
        <v>0.6</v>
      </c>
      <c r="D7" s="382">
        <v>2</v>
      </c>
      <c r="E7" s="382">
        <v>1</v>
      </c>
      <c r="F7" s="382">
        <v>1.6</v>
      </c>
    </row>
    <row r="8" spans="1:6" ht="60" customHeight="1">
      <c r="A8" s="459" t="s">
        <v>743</v>
      </c>
      <c r="B8" s="459" t="s">
        <v>744</v>
      </c>
      <c r="C8" s="461">
        <v>0.78</v>
      </c>
      <c r="D8" s="460">
        <v>1.5</v>
      </c>
      <c r="E8" s="460">
        <v>1</v>
      </c>
      <c r="F8" s="460">
        <v>1.6</v>
      </c>
    </row>
    <row r="9" spans="1:6" ht="47.25" customHeight="1">
      <c r="A9" s="440" t="s">
        <v>743</v>
      </c>
      <c r="B9" s="440" t="s">
        <v>745</v>
      </c>
      <c r="C9" s="383">
        <v>0.68</v>
      </c>
      <c r="D9" s="382">
        <v>1.8</v>
      </c>
      <c r="E9" s="383">
        <v>0.87</v>
      </c>
      <c r="F9" s="382">
        <v>1.8</v>
      </c>
    </row>
    <row r="10" spans="1:6" ht="60" customHeight="1">
      <c r="A10" s="459" t="s">
        <v>568</v>
      </c>
      <c r="B10" s="459" t="s">
        <v>744</v>
      </c>
      <c r="C10" s="460">
        <v>0.6</v>
      </c>
      <c r="D10" s="460">
        <v>2</v>
      </c>
      <c r="E10" s="461">
        <v>0.78</v>
      </c>
      <c r="F10" s="460">
        <v>2.1</v>
      </c>
    </row>
    <row r="11" spans="1:6" ht="30" customHeight="1">
      <c r="A11" s="440" t="s">
        <v>568</v>
      </c>
      <c r="B11" s="440" t="s">
        <v>745</v>
      </c>
      <c r="C11" s="383">
        <v>0.52</v>
      </c>
      <c r="D11" s="382">
        <v>2.2999999999999998</v>
      </c>
      <c r="E11" s="383">
        <v>0.68</v>
      </c>
      <c r="F11" s="382">
        <v>2.4</v>
      </c>
    </row>
    <row r="12" spans="1:6" ht="60" customHeight="1">
      <c r="A12" s="459" t="s">
        <v>746</v>
      </c>
      <c r="B12" s="459" t="s">
        <v>744</v>
      </c>
      <c r="C12" s="460">
        <v>0.5</v>
      </c>
      <c r="D12" s="460">
        <v>2.4</v>
      </c>
      <c r="E12" s="461">
        <v>0.78</v>
      </c>
      <c r="F12" s="460">
        <v>2.1</v>
      </c>
    </row>
    <row r="13" spans="1:6" ht="30" customHeight="1">
      <c r="A13" s="440" t="s">
        <v>746</v>
      </c>
      <c r="B13" s="440" t="s">
        <v>745</v>
      </c>
      <c r="C13" s="383">
        <v>0.42</v>
      </c>
      <c r="D13" s="382">
        <v>2.9</v>
      </c>
      <c r="E13" s="383">
        <v>0.65</v>
      </c>
      <c r="F13" s="382">
        <v>2.5</v>
      </c>
    </row>
    <row r="14" spans="1:6" ht="60" customHeight="1">
      <c r="A14" s="459" t="s">
        <v>747</v>
      </c>
      <c r="B14" s="459" t="s">
        <v>748</v>
      </c>
      <c r="C14" s="461">
        <v>0.45</v>
      </c>
      <c r="D14" s="460">
        <v>2.6</v>
      </c>
      <c r="E14" s="460">
        <v>0.6</v>
      </c>
      <c r="F14" s="460">
        <v>2.7</v>
      </c>
    </row>
    <row r="15" spans="1:6" ht="16.5" customHeight="1">
      <c r="A15" s="440" t="s">
        <v>749</v>
      </c>
      <c r="B15" s="462" t="s">
        <v>150</v>
      </c>
      <c r="C15" s="458" t="s">
        <v>741</v>
      </c>
      <c r="D15" s="458" t="s">
        <v>741</v>
      </c>
      <c r="E15" s="458" t="s">
        <v>741</v>
      </c>
      <c r="F15" s="458" t="s">
        <v>741</v>
      </c>
    </row>
    <row r="16" spans="1:6" ht="32.25" customHeight="1">
      <c r="A16" s="1563" t="s">
        <v>1212</v>
      </c>
      <c r="B16" s="1563"/>
      <c r="C16" s="1563"/>
      <c r="D16" s="1563"/>
      <c r="E16" s="1563"/>
      <c r="F16" s="1563"/>
    </row>
    <row r="17" spans="1:6" ht="15.75">
      <c r="A17" s="463" t="s">
        <v>750</v>
      </c>
      <c r="B17" s="464"/>
      <c r="C17" s="464"/>
      <c r="D17" s="464"/>
      <c r="E17" s="464"/>
      <c r="F17" s="464"/>
    </row>
    <row r="19" spans="1:6" ht="28.5">
      <c r="A19" s="1558" t="s">
        <v>761</v>
      </c>
      <c r="B19" s="1558"/>
      <c r="C19" s="1558"/>
      <c r="D19" s="1558"/>
      <c r="E19" s="1558"/>
      <c r="F19" s="1558"/>
    </row>
    <row r="20" spans="1:6" ht="18">
      <c r="A20" s="1559" t="s">
        <v>751</v>
      </c>
      <c r="B20" s="1559"/>
      <c r="C20" s="1559"/>
      <c r="D20" s="1559"/>
      <c r="E20" s="1559"/>
      <c r="F20" s="1559"/>
    </row>
    <row r="21" spans="1:6">
      <c r="A21" s="1567" t="s">
        <v>752</v>
      </c>
      <c r="B21" s="1567"/>
      <c r="C21" s="1562" t="s">
        <v>737</v>
      </c>
      <c r="D21" s="1562"/>
      <c r="E21" s="1562" t="s">
        <v>738</v>
      </c>
      <c r="F21" s="1562"/>
    </row>
    <row r="22" spans="1:6" ht="78.75" customHeight="1">
      <c r="A22" s="1567"/>
      <c r="B22" s="1567"/>
      <c r="C22" s="457" t="s">
        <v>838</v>
      </c>
      <c r="D22" s="457" t="s">
        <v>601</v>
      </c>
      <c r="E22" s="457" t="s">
        <v>838</v>
      </c>
      <c r="F22" s="457" t="s">
        <v>601</v>
      </c>
    </row>
    <row r="23" spans="1:6" ht="16.5">
      <c r="A23" s="1564" t="s">
        <v>753</v>
      </c>
      <c r="B23" s="1564"/>
      <c r="C23" s="465" t="s">
        <v>150</v>
      </c>
      <c r="D23" s="465">
        <v>1</v>
      </c>
      <c r="E23" s="465" t="s">
        <v>150</v>
      </c>
      <c r="F23" s="465">
        <v>1</v>
      </c>
    </row>
    <row r="24" spans="1:6" ht="16.5">
      <c r="A24" s="1565" t="s">
        <v>286</v>
      </c>
      <c r="B24" s="1565"/>
      <c r="C24" s="466">
        <v>1.2</v>
      </c>
      <c r="D24" s="466">
        <v>1</v>
      </c>
      <c r="E24" s="466">
        <v>1.6</v>
      </c>
      <c r="F24" s="466">
        <v>1</v>
      </c>
    </row>
    <row r="25" spans="1:6" ht="16.5">
      <c r="A25" s="1566" t="s">
        <v>754</v>
      </c>
      <c r="B25" s="1566"/>
      <c r="C25" s="465">
        <v>0.6</v>
      </c>
      <c r="D25" s="465">
        <v>2</v>
      </c>
      <c r="E25" s="465">
        <v>1</v>
      </c>
      <c r="F25" s="465">
        <v>1.6</v>
      </c>
    </row>
    <row r="26" spans="1:6" ht="16.5">
      <c r="A26" s="1565" t="s">
        <v>528</v>
      </c>
      <c r="B26" s="1565"/>
      <c r="C26" s="466">
        <v>0.78</v>
      </c>
      <c r="D26" s="466">
        <v>1.5</v>
      </c>
      <c r="E26" s="466">
        <v>1</v>
      </c>
      <c r="F26" s="466">
        <v>1.6</v>
      </c>
    </row>
    <row r="27" spans="1:6" ht="16.5">
      <c r="A27" s="1564" t="s">
        <v>529</v>
      </c>
      <c r="B27" s="1564"/>
      <c r="C27" s="465">
        <v>0.6</v>
      </c>
      <c r="D27" s="465">
        <v>2</v>
      </c>
      <c r="E27" s="465">
        <v>0.78</v>
      </c>
      <c r="F27" s="465">
        <v>2</v>
      </c>
    </row>
    <row r="28" spans="1:6" ht="16.5">
      <c r="A28" s="1565" t="s">
        <v>530</v>
      </c>
      <c r="B28" s="1565"/>
      <c r="C28" s="466">
        <v>0.5</v>
      </c>
      <c r="D28" s="466">
        <v>2.4</v>
      </c>
      <c r="E28" s="466">
        <v>0.78</v>
      </c>
      <c r="F28" s="466">
        <v>2</v>
      </c>
    </row>
    <row r="29" spans="1:6" ht="16.5">
      <c r="A29" s="1564" t="s">
        <v>531</v>
      </c>
      <c r="B29" s="1564"/>
      <c r="C29" s="465">
        <v>0.45</v>
      </c>
      <c r="D29" s="465">
        <v>2.6</v>
      </c>
      <c r="E29" s="465">
        <v>0.6</v>
      </c>
      <c r="F29" s="465">
        <v>2.6</v>
      </c>
    </row>
    <row r="30" spans="1:6" ht="16.5">
      <c r="A30" s="1565" t="s">
        <v>755</v>
      </c>
      <c r="B30" s="1565"/>
      <c r="C30" s="466" t="s">
        <v>150</v>
      </c>
      <c r="D30" s="466">
        <v>5</v>
      </c>
      <c r="E30" s="466">
        <v>0.3</v>
      </c>
      <c r="F30" s="466">
        <v>5.3</v>
      </c>
    </row>
    <row r="31" spans="1:6" ht="16.5">
      <c r="A31" s="1564" t="s">
        <v>756</v>
      </c>
      <c r="B31" s="1564"/>
      <c r="C31" s="465" t="s">
        <v>150</v>
      </c>
      <c r="D31" s="465" t="s">
        <v>150</v>
      </c>
      <c r="E31" s="465" t="s">
        <v>150</v>
      </c>
      <c r="F31" s="465" t="s">
        <v>150</v>
      </c>
    </row>
  </sheetData>
  <customSheetViews>
    <customSheetView guid="{D1431318-1DB8-4C45-813B-5A8065DFC797}" scale="60" showPageBreaks="1" printArea="1" view="pageBreakPreview">
      <selection activeCell="K31" sqref="K31"/>
      <rowBreaks count="1" manualBreakCount="1">
        <brk id="17" max="5" man="1"/>
      </rowBreaks>
      <pageMargins left="0.7" right="0.7" top="0.75" bottom="0.75" header="0.3" footer="0.3"/>
      <pageSetup scale="86" orientation="portrait" r:id="rId1"/>
    </customSheetView>
  </customSheetViews>
  <mergeCells count="21">
    <mergeCell ref="A16:F16"/>
    <mergeCell ref="A23:B23"/>
    <mergeCell ref="A30:B30"/>
    <mergeCell ref="A31:B31"/>
    <mergeCell ref="A24:B24"/>
    <mergeCell ref="A25:B25"/>
    <mergeCell ref="A26:B26"/>
    <mergeCell ref="A27:B27"/>
    <mergeCell ref="A28:B28"/>
    <mergeCell ref="A29:B29"/>
    <mergeCell ref="A19:F19"/>
    <mergeCell ref="A20:F20"/>
    <mergeCell ref="A21:B22"/>
    <mergeCell ref="C21:D21"/>
    <mergeCell ref="E21:F21"/>
    <mergeCell ref="A1:F1"/>
    <mergeCell ref="A2:F2"/>
    <mergeCell ref="A3:A4"/>
    <mergeCell ref="B3:B4"/>
    <mergeCell ref="C3:D3"/>
    <mergeCell ref="E3:F3"/>
  </mergeCells>
  <pageMargins left="0.7" right="0.7" top="0.75" bottom="0.75" header="0.3" footer="0.3"/>
  <pageSetup scale="86" orientation="portrait" r:id="rId2"/>
  <rowBreaks count="1" manualBreakCount="1">
    <brk id="17"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tabColor indexed="43"/>
  </sheetPr>
  <dimension ref="A1:AP167"/>
  <sheetViews>
    <sheetView topLeftCell="A12" zoomScaleNormal="100" zoomScaleSheetLayoutView="100" workbookViewId="0">
      <selection activeCell="A105" sqref="A105:C105"/>
    </sheetView>
  </sheetViews>
  <sheetFormatPr defaultColWidth="9.140625" defaultRowHeight="12.75"/>
  <cols>
    <col min="1" max="1" width="30" style="384" customWidth="1"/>
    <col min="2" max="2" width="35.140625" style="384" customWidth="1"/>
    <col min="3" max="3" width="33.42578125" style="384" customWidth="1"/>
    <col min="4" max="16384" width="9.140625" style="384"/>
  </cols>
  <sheetData>
    <row r="1" spans="1:42" ht="31.5" customHeight="1">
      <c r="A1" s="1583" t="s">
        <v>201</v>
      </c>
      <c r="B1" s="1584"/>
      <c r="C1" s="220"/>
      <c r="D1" s="166"/>
      <c r="E1" s="167"/>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row>
    <row r="2" spans="1:42" ht="31.5" customHeight="1">
      <c r="A2" s="1585" t="s">
        <v>202</v>
      </c>
      <c r="B2" s="1586"/>
      <c r="C2" s="221"/>
      <c r="D2" s="166"/>
      <c r="E2" s="167"/>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row>
    <row r="3" spans="1:42" ht="16.5" customHeight="1">
      <c r="A3" s="1587" t="s">
        <v>453</v>
      </c>
      <c r="B3" s="1587"/>
      <c r="C3" s="1587"/>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1:42" ht="16.5">
      <c r="A4" s="168" t="s">
        <v>339</v>
      </c>
      <c r="B4" s="169" t="s">
        <v>340</v>
      </c>
      <c r="C4" s="169" t="s">
        <v>341</v>
      </c>
      <c r="D4" s="166"/>
      <c r="E4" s="166"/>
      <c r="F4" s="166"/>
      <c r="G4" s="166"/>
      <c r="H4" s="166"/>
      <c r="I4" s="170"/>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row>
    <row r="5" spans="1:42" ht="16.5">
      <c r="A5" s="1568" t="s">
        <v>342</v>
      </c>
      <c r="B5" s="171" t="s">
        <v>343</v>
      </c>
      <c r="C5" s="171">
        <v>55</v>
      </c>
      <c r="D5" s="166"/>
      <c r="E5" s="166"/>
      <c r="F5" s="166"/>
      <c r="G5" s="166"/>
      <c r="H5" s="166"/>
      <c r="I5" s="166"/>
      <c r="J5" s="166"/>
      <c r="K5" s="170"/>
      <c r="L5" s="170"/>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row>
    <row r="6" spans="1:42" ht="16.5">
      <c r="A6" s="1570"/>
      <c r="B6" s="171" t="s">
        <v>344</v>
      </c>
      <c r="C6" s="171">
        <v>0.28000000000000003</v>
      </c>
      <c r="D6" s="166"/>
      <c r="E6" s="166"/>
      <c r="F6" s="166"/>
      <c r="G6" s="166"/>
      <c r="H6" s="166"/>
      <c r="I6" s="166"/>
      <c r="J6" s="170"/>
      <c r="K6" s="170"/>
      <c r="L6" s="170"/>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1:42" ht="16.5">
      <c r="A7" s="1571" t="s">
        <v>345</v>
      </c>
      <c r="B7" s="172" t="s">
        <v>343</v>
      </c>
      <c r="C7" s="172">
        <v>38</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row>
    <row r="8" spans="1:42" ht="16.5">
      <c r="A8" s="1572"/>
      <c r="B8" s="172" t="s">
        <v>344</v>
      </c>
      <c r="C8" s="172">
        <v>0.33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row>
    <row r="9" spans="1:42" ht="16.5">
      <c r="A9" s="1568" t="s">
        <v>346</v>
      </c>
      <c r="B9" s="171" t="s">
        <v>347</v>
      </c>
      <c r="C9" s="171">
        <v>45</v>
      </c>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ht="16.5">
      <c r="A10" s="1570"/>
      <c r="B10" s="173" t="s">
        <v>455</v>
      </c>
      <c r="C10" s="171">
        <v>3.3</v>
      </c>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row>
    <row r="11" spans="1:42" ht="16.5">
      <c r="A11" s="172" t="s">
        <v>348</v>
      </c>
      <c r="B11" s="172" t="s">
        <v>349</v>
      </c>
      <c r="C11" s="172">
        <v>19</v>
      </c>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ht="16.5">
      <c r="A12" s="171" t="s">
        <v>350</v>
      </c>
      <c r="B12" s="171" t="s">
        <v>349</v>
      </c>
      <c r="C12" s="171">
        <v>23</v>
      </c>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row>
    <row r="13" spans="1:42" ht="16.5">
      <c r="A13" s="172" t="s">
        <v>351</v>
      </c>
      <c r="B13" s="172" t="s">
        <v>352</v>
      </c>
      <c r="C13" s="172">
        <v>43</v>
      </c>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row>
    <row r="14" spans="1:42" ht="16.5">
      <c r="A14" s="171" t="s">
        <v>353</v>
      </c>
      <c r="B14" s="171" t="s">
        <v>352</v>
      </c>
      <c r="C14" s="171">
        <v>18</v>
      </c>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row>
    <row r="15" spans="1:42" ht="16.5">
      <c r="A15" s="172" t="s">
        <v>456</v>
      </c>
      <c r="B15" s="172" t="s">
        <v>354</v>
      </c>
      <c r="C15" s="172">
        <v>50</v>
      </c>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row>
    <row r="16" spans="1:42" ht="16.5">
      <c r="A16" s="171" t="s">
        <v>355</v>
      </c>
      <c r="B16" s="171" t="s">
        <v>356</v>
      </c>
      <c r="C16" s="171"/>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row>
    <row r="17" spans="1:42" ht="16.5">
      <c r="A17" s="1571" t="s">
        <v>357</v>
      </c>
      <c r="B17" s="172" t="s">
        <v>344</v>
      </c>
      <c r="C17" s="172">
        <v>0.13</v>
      </c>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row>
    <row r="18" spans="1:42" ht="16.5">
      <c r="A18" s="1577"/>
      <c r="B18" s="172" t="s">
        <v>358</v>
      </c>
      <c r="C18" s="172">
        <v>3.8</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row>
    <row r="19" spans="1:42" ht="16.5">
      <c r="A19" s="1572"/>
      <c r="B19" s="172" t="s">
        <v>359</v>
      </c>
      <c r="C19" s="172">
        <v>590</v>
      </c>
      <c r="D19" s="166"/>
      <c r="E19" s="166"/>
      <c r="F19" s="166"/>
      <c r="G19" s="166"/>
      <c r="H19" s="166"/>
      <c r="I19" s="166"/>
      <c r="J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row>
    <row r="20" spans="1:42" ht="16.5">
      <c r="A20" s="1568" t="s">
        <v>360</v>
      </c>
      <c r="B20" s="171" t="s">
        <v>354</v>
      </c>
      <c r="C20" s="171">
        <v>11.5</v>
      </c>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row>
    <row r="21" spans="1:42" ht="16.5">
      <c r="A21" s="1569"/>
      <c r="B21" s="171" t="s">
        <v>344</v>
      </c>
      <c r="C21" s="171">
        <v>0.15</v>
      </c>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row>
    <row r="22" spans="1:42" ht="16.5">
      <c r="A22" s="1570"/>
      <c r="B22" s="171" t="s">
        <v>361</v>
      </c>
      <c r="C22" s="171">
        <v>2.5</v>
      </c>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row>
    <row r="23" spans="1:42" ht="16.5">
      <c r="A23" s="1571" t="s">
        <v>362</v>
      </c>
      <c r="B23" s="172" t="s">
        <v>224</v>
      </c>
      <c r="C23" s="172">
        <v>18</v>
      </c>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row>
    <row r="24" spans="1:42" ht="16.5">
      <c r="A24" s="1572"/>
      <c r="B24" s="172" t="s">
        <v>344</v>
      </c>
      <c r="C24" s="172">
        <v>0.18</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row>
    <row r="25" spans="1:42" ht="16.5">
      <c r="A25" s="1568" t="s">
        <v>363</v>
      </c>
      <c r="B25" s="171" t="s">
        <v>344</v>
      </c>
      <c r="C25" s="171">
        <v>1.1000000000000001</v>
      </c>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row>
    <row r="26" spans="1:42" ht="16.5">
      <c r="A26" s="1569"/>
      <c r="B26" s="171" t="s">
        <v>364</v>
      </c>
      <c r="C26" s="171">
        <v>275</v>
      </c>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row>
    <row r="27" spans="1:42" ht="16.5">
      <c r="A27" s="1570"/>
      <c r="B27" s="171" t="s">
        <v>365</v>
      </c>
      <c r="C27" s="171">
        <v>8</v>
      </c>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row>
    <row r="28" spans="1:42" ht="16.5">
      <c r="A28" s="1571" t="s">
        <v>366</v>
      </c>
      <c r="B28" s="172" t="s">
        <v>224</v>
      </c>
      <c r="C28" s="172">
        <v>17.5</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row>
    <row r="29" spans="1:42" ht="17.25" customHeight="1">
      <c r="A29" s="1572"/>
      <c r="B29" s="172" t="s">
        <v>225</v>
      </c>
      <c r="C29" s="172">
        <v>25</v>
      </c>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row>
    <row r="30" spans="1:42" ht="16.5">
      <c r="A30" s="1568" t="s">
        <v>367</v>
      </c>
      <c r="B30" s="171" t="s">
        <v>368</v>
      </c>
      <c r="C30" s="171">
        <v>635</v>
      </c>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row>
    <row r="31" spans="1:42" ht="16.5">
      <c r="A31" s="1569"/>
      <c r="B31" s="171" t="s">
        <v>369</v>
      </c>
      <c r="C31" s="171">
        <v>52.5</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row>
    <row r="32" spans="1:42" ht="16.5">
      <c r="A32" s="1570"/>
      <c r="B32" s="171" t="s">
        <v>344</v>
      </c>
      <c r="C32" s="171">
        <v>2.6</v>
      </c>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row>
    <row r="33" spans="1:42" ht="16.5">
      <c r="A33" s="172" t="s">
        <v>370</v>
      </c>
      <c r="B33" s="172" t="s">
        <v>371</v>
      </c>
      <c r="C33" s="172">
        <v>68</v>
      </c>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row>
    <row r="34" spans="1:42" ht="16.5">
      <c r="A34" s="171" t="s">
        <v>372</v>
      </c>
      <c r="B34" s="171" t="s">
        <v>373</v>
      </c>
      <c r="C34" s="171">
        <v>285</v>
      </c>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row>
    <row r="35" spans="1:42" ht="16.5">
      <c r="A35" s="1571" t="s">
        <v>374</v>
      </c>
      <c r="B35" s="172" t="s">
        <v>375</v>
      </c>
      <c r="C35" s="172">
        <v>15</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row>
    <row r="36" spans="1:42" ht="16.5">
      <c r="A36" s="1577"/>
      <c r="B36" s="172" t="s">
        <v>376</v>
      </c>
      <c r="C36" s="172">
        <v>25</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row>
    <row r="37" spans="1:42" ht="16.5">
      <c r="A37" s="1572"/>
      <c r="B37" s="172" t="s">
        <v>377</v>
      </c>
      <c r="C37" s="172">
        <v>50</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row>
    <row r="38" spans="1:42" ht="30">
      <c r="A38" s="174" t="s">
        <v>454</v>
      </c>
      <c r="B38" s="172"/>
      <c r="C38" s="172"/>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row>
    <row r="39" spans="1:42" ht="16.5">
      <c r="A39" s="1568" t="s">
        <v>457</v>
      </c>
      <c r="B39" s="171" t="s">
        <v>378</v>
      </c>
      <c r="C39" s="171">
        <v>3.5</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row>
    <row r="40" spans="1:42" ht="16.5">
      <c r="A40" s="1569"/>
      <c r="B40" s="171" t="s">
        <v>379</v>
      </c>
      <c r="C40" s="171">
        <v>8</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row>
    <row r="41" spans="1:42" ht="16.5">
      <c r="A41" s="1569"/>
      <c r="B41" s="171" t="s">
        <v>380</v>
      </c>
      <c r="C41" s="171">
        <v>30</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row>
    <row r="42" spans="1:42" ht="16.5">
      <c r="A42" s="1569"/>
      <c r="B42" s="171" t="s">
        <v>226</v>
      </c>
      <c r="C42" s="171">
        <v>50</v>
      </c>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row>
    <row r="43" spans="1:42" ht="30">
      <c r="A43" s="1569"/>
      <c r="B43" s="171" t="s">
        <v>382</v>
      </c>
      <c r="C43" s="171">
        <v>20</v>
      </c>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row>
    <row r="44" spans="1:42" ht="30">
      <c r="A44" s="1570"/>
      <c r="B44" s="171" t="s">
        <v>227</v>
      </c>
      <c r="C44" s="171">
        <v>35</v>
      </c>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row>
    <row r="45" spans="1:42" ht="16.5">
      <c r="A45" s="172" t="s">
        <v>384</v>
      </c>
      <c r="B45" s="172" t="s">
        <v>358</v>
      </c>
      <c r="C45" s="172">
        <v>7</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row>
    <row r="46" spans="1:42" ht="16.5">
      <c r="A46" s="171" t="s">
        <v>385</v>
      </c>
      <c r="B46" s="171" t="s">
        <v>386</v>
      </c>
      <c r="C46" s="171">
        <v>30</v>
      </c>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row>
    <row r="47" spans="1:42" ht="30">
      <c r="A47" s="172" t="s">
        <v>387</v>
      </c>
      <c r="B47" s="172" t="s">
        <v>344</v>
      </c>
      <c r="C47" s="172">
        <v>0.5</v>
      </c>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row>
    <row r="48" spans="1:42" ht="16.5">
      <c r="A48" s="171" t="s">
        <v>388</v>
      </c>
      <c r="B48" s="171" t="s">
        <v>389</v>
      </c>
      <c r="C48" s="171">
        <v>5</v>
      </c>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row>
    <row r="49" spans="1:42" ht="16.5">
      <c r="A49" s="172" t="s">
        <v>390</v>
      </c>
      <c r="B49" s="172" t="s">
        <v>344</v>
      </c>
      <c r="C49" s="172">
        <v>0.2</v>
      </c>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row>
    <row r="50" spans="1:42" ht="16.5">
      <c r="A50" s="171" t="s">
        <v>391</v>
      </c>
      <c r="B50" s="171" t="s">
        <v>389</v>
      </c>
      <c r="C50" s="171">
        <v>8.5</v>
      </c>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row>
    <row r="51" spans="1:42" ht="16.5">
      <c r="A51" s="172" t="s">
        <v>392</v>
      </c>
      <c r="B51" s="172" t="s">
        <v>358</v>
      </c>
      <c r="C51" s="172">
        <v>7</v>
      </c>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row>
    <row r="52" spans="1:42" ht="16.5">
      <c r="A52" s="171" t="s">
        <v>393</v>
      </c>
      <c r="B52" s="171" t="s">
        <v>358</v>
      </c>
      <c r="C52" s="171">
        <v>2.5</v>
      </c>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row>
    <row r="53" spans="1:42" ht="16.5">
      <c r="A53" s="1578" t="s">
        <v>203</v>
      </c>
      <c r="B53" s="172" t="s">
        <v>358</v>
      </c>
      <c r="C53" s="172">
        <v>4.5</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row>
    <row r="54" spans="1:42" ht="16.5">
      <c r="A54" s="1579"/>
      <c r="B54" s="172" t="s">
        <v>394</v>
      </c>
      <c r="C54" s="172">
        <v>36</v>
      </c>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row>
    <row r="55" spans="1:42" ht="16.5">
      <c r="A55" s="175" t="s">
        <v>395</v>
      </c>
      <c r="B55" s="172"/>
      <c r="C55" s="172"/>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row>
    <row r="56" spans="1:42" ht="16.5">
      <c r="A56" s="171" t="s">
        <v>458</v>
      </c>
      <c r="B56" s="171" t="s">
        <v>396</v>
      </c>
      <c r="C56" s="171">
        <v>5</v>
      </c>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row>
    <row r="57" spans="1:42" ht="16.5">
      <c r="A57" s="172" t="s">
        <v>397</v>
      </c>
      <c r="B57" s="172" t="s">
        <v>398</v>
      </c>
      <c r="C57" s="172">
        <v>4.5</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row>
    <row r="58" spans="1:42" ht="16.5">
      <c r="A58" s="171" t="s">
        <v>399</v>
      </c>
      <c r="B58" s="171" t="s">
        <v>400</v>
      </c>
      <c r="C58" s="171">
        <v>185</v>
      </c>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row>
    <row r="59" spans="1:42" ht="16.5">
      <c r="A59" s="1571" t="s">
        <v>401</v>
      </c>
      <c r="B59" s="172" t="s">
        <v>402</v>
      </c>
      <c r="C59" s="172">
        <v>22</v>
      </c>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row>
    <row r="60" spans="1:42" ht="19.5" customHeight="1">
      <c r="A60" s="1577"/>
      <c r="B60" s="172" t="s">
        <v>403</v>
      </c>
      <c r="C60" s="172">
        <v>118</v>
      </c>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row>
    <row r="61" spans="1:42" ht="16.5">
      <c r="A61" s="1572"/>
      <c r="B61" s="172" t="s">
        <v>404</v>
      </c>
      <c r="C61" s="172">
        <v>86</v>
      </c>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row>
    <row r="62" spans="1:42" ht="30">
      <c r="A62" s="171" t="s">
        <v>405</v>
      </c>
      <c r="B62" s="171" t="s">
        <v>406</v>
      </c>
      <c r="C62" s="171">
        <v>1.5</v>
      </c>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row>
    <row r="63" spans="1:42" ht="16.5">
      <c r="A63" s="172" t="s">
        <v>407</v>
      </c>
      <c r="B63" s="172" t="s">
        <v>394</v>
      </c>
      <c r="C63" s="172">
        <v>5</v>
      </c>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row>
    <row r="64" spans="1:42" ht="16.5">
      <c r="A64" s="171" t="s">
        <v>408</v>
      </c>
      <c r="B64" s="171" t="s">
        <v>352</v>
      </c>
      <c r="C64" s="171">
        <v>6</v>
      </c>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row>
    <row r="65" spans="1:42" ht="16.5">
      <c r="A65" s="172" t="s">
        <v>409</v>
      </c>
      <c r="B65" s="172" t="s">
        <v>410</v>
      </c>
      <c r="C65" s="172">
        <v>35</v>
      </c>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row>
    <row r="66" spans="1:42" ht="30">
      <c r="A66" s="176" t="s">
        <v>411</v>
      </c>
      <c r="B66" s="172"/>
      <c r="C66" s="172"/>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row>
    <row r="67" spans="1:42" ht="30">
      <c r="A67" s="1580" t="s">
        <v>412</v>
      </c>
      <c r="B67" s="173" t="s">
        <v>760</v>
      </c>
      <c r="C67" s="173">
        <v>32</v>
      </c>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row>
    <row r="68" spans="1:42" ht="30">
      <c r="A68" s="1581"/>
      <c r="B68" s="173" t="s">
        <v>759</v>
      </c>
      <c r="C68" s="173">
        <v>100</v>
      </c>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row>
    <row r="69" spans="1:42" ht="45">
      <c r="A69" s="1581"/>
      <c r="B69" s="173" t="s">
        <v>758</v>
      </c>
      <c r="C69" s="173">
        <v>50</v>
      </c>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row>
    <row r="70" spans="1:42" ht="45">
      <c r="A70" s="1582"/>
      <c r="B70" s="173" t="s">
        <v>757</v>
      </c>
      <c r="C70" s="173">
        <v>63</v>
      </c>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row>
    <row r="71" spans="1:42" ht="16.5">
      <c r="A71" s="172" t="s">
        <v>413</v>
      </c>
      <c r="B71" s="172" t="s">
        <v>414</v>
      </c>
      <c r="C71" s="172">
        <v>225</v>
      </c>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row>
    <row r="72" spans="1:42" ht="16.5">
      <c r="A72" s="171" t="s">
        <v>228</v>
      </c>
      <c r="B72" s="171" t="s">
        <v>352</v>
      </c>
      <c r="C72" s="171">
        <v>20</v>
      </c>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row>
    <row r="73" spans="1:42" ht="16.5">
      <c r="A73" s="172" t="s">
        <v>415</v>
      </c>
      <c r="B73" s="172" t="s">
        <v>352</v>
      </c>
      <c r="C73" s="172">
        <v>25</v>
      </c>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row>
    <row r="74" spans="1:42" ht="18" customHeight="1">
      <c r="A74" s="171" t="s">
        <v>416</v>
      </c>
      <c r="B74" s="171" t="s">
        <v>352</v>
      </c>
      <c r="C74" s="171">
        <v>45</v>
      </c>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row>
    <row r="75" spans="1:42" ht="16.5">
      <c r="A75" s="172" t="s">
        <v>417</v>
      </c>
      <c r="B75" s="172" t="s">
        <v>418</v>
      </c>
      <c r="C75" s="172">
        <v>62</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row>
    <row r="76" spans="1:42" ht="16.5">
      <c r="A76" s="171" t="s">
        <v>419</v>
      </c>
      <c r="B76" s="171" t="s">
        <v>352</v>
      </c>
      <c r="C76" s="171">
        <v>50</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row>
    <row r="77" spans="1:42" ht="16.5">
      <c r="A77" s="172" t="s">
        <v>420</v>
      </c>
      <c r="B77" s="172" t="s">
        <v>358</v>
      </c>
      <c r="C77" s="172">
        <v>4</v>
      </c>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c r="AN77" s="166"/>
      <c r="AO77" s="166"/>
      <c r="AP77" s="166"/>
    </row>
    <row r="78" spans="1:42" ht="16.5">
      <c r="A78" s="171" t="s">
        <v>421</v>
      </c>
      <c r="B78" s="171" t="s">
        <v>343</v>
      </c>
      <c r="C78" s="171">
        <v>10</v>
      </c>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row>
    <row r="79" spans="1:42" ht="16.5">
      <c r="A79" s="172" t="s">
        <v>422</v>
      </c>
      <c r="B79" s="172" t="s">
        <v>406</v>
      </c>
      <c r="C79" s="172">
        <v>13</v>
      </c>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row>
    <row r="80" spans="1:42" ht="16.5">
      <c r="A80" s="176" t="s">
        <v>423</v>
      </c>
      <c r="B80" s="172"/>
      <c r="C80" s="172"/>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row>
    <row r="81" spans="1:42" ht="16.5">
      <c r="A81" s="1568" t="s">
        <v>424</v>
      </c>
      <c r="B81" s="171" t="s">
        <v>425</v>
      </c>
      <c r="C81" s="171">
        <v>3.5</v>
      </c>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row>
    <row r="82" spans="1:42" ht="16.5">
      <c r="A82" s="1569"/>
      <c r="B82" s="171" t="s">
        <v>426</v>
      </c>
      <c r="C82" s="171">
        <v>11</v>
      </c>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row>
    <row r="83" spans="1:42" ht="16.5">
      <c r="A83" s="1569"/>
      <c r="B83" s="171" t="s">
        <v>427</v>
      </c>
      <c r="C83" s="171">
        <v>50</v>
      </c>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row>
    <row r="84" spans="1:42" ht="16.5">
      <c r="A84" s="1569"/>
      <c r="B84" s="171" t="s">
        <v>359</v>
      </c>
      <c r="C84" s="171">
        <v>250</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row>
    <row r="85" spans="1:42" ht="16.5">
      <c r="A85" s="1570"/>
      <c r="B85" s="171" t="s">
        <v>344</v>
      </c>
      <c r="C85" s="171">
        <v>0.25</v>
      </c>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row>
    <row r="86" spans="1:42" ht="30">
      <c r="A86" s="172" t="s">
        <v>428</v>
      </c>
      <c r="B86" s="172" t="s">
        <v>344</v>
      </c>
      <c r="C86" s="172">
        <v>5</v>
      </c>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row>
    <row r="87" spans="1:42" ht="16.5">
      <c r="A87" s="1568" t="s">
        <v>429</v>
      </c>
      <c r="B87" s="171" t="s">
        <v>430</v>
      </c>
      <c r="C87" s="171">
        <v>5</v>
      </c>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row>
    <row r="88" spans="1:42" ht="16.5">
      <c r="A88" s="1569"/>
      <c r="B88" s="171" t="s">
        <v>344</v>
      </c>
      <c r="C88" s="171">
        <v>5</v>
      </c>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row>
    <row r="89" spans="1:42" ht="16.5">
      <c r="A89" s="1570"/>
      <c r="B89" s="171" t="s">
        <v>431</v>
      </c>
      <c r="C89" s="171">
        <v>565</v>
      </c>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row>
    <row r="90" spans="1:42" ht="16.5">
      <c r="A90" s="176" t="s">
        <v>432</v>
      </c>
      <c r="B90" s="172"/>
      <c r="C90" s="172"/>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row>
    <row r="91" spans="1:42" ht="16.5">
      <c r="A91" s="171" t="s">
        <v>433</v>
      </c>
      <c r="B91" s="171" t="s">
        <v>434</v>
      </c>
      <c r="C91" s="171">
        <v>220</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row>
    <row r="92" spans="1:42" ht="16.5">
      <c r="A92" s="172" t="s">
        <v>435</v>
      </c>
      <c r="B92" s="172" t="s">
        <v>434</v>
      </c>
      <c r="C92" s="172">
        <v>147</v>
      </c>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row>
    <row r="93" spans="1:42" ht="16.5">
      <c r="A93" s="171" t="s">
        <v>436</v>
      </c>
      <c r="B93" s="171" t="s">
        <v>437</v>
      </c>
      <c r="C93" s="171">
        <v>140</v>
      </c>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row>
    <row r="94" spans="1:42" ht="30">
      <c r="A94" s="172" t="s">
        <v>438</v>
      </c>
      <c r="B94" s="172" t="s">
        <v>347</v>
      </c>
      <c r="C94" s="172">
        <v>125</v>
      </c>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row>
    <row r="95" spans="1:42" ht="16.5">
      <c r="A95" s="171" t="s">
        <v>439</v>
      </c>
      <c r="B95" s="171" t="s">
        <v>352</v>
      </c>
      <c r="C95" s="171">
        <v>105</v>
      </c>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row>
    <row r="96" spans="1:42" ht="30">
      <c r="A96" s="172" t="s">
        <v>440</v>
      </c>
      <c r="B96" s="172" t="s">
        <v>441</v>
      </c>
      <c r="C96" s="172">
        <v>14</v>
      </c>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166"/>
      <c r="AP96" s="166"/>
    </row>
    <row r="97" spans="1:42" ht="30">
      <c r="A97" s="171" t="s">
        <v>442</v>
      </c>
      <c r="B97" s="171" t="s">
        <v>441</v>
      </c>
      <c r="C97" s="171">
        <v>18</v>
      </c>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c r="AN97" s="166"/>
      <c r="AO97" s="166"/>
      <c r="AP97" s="166"/>
    </row>
    <row r="98" spans="1:42" ht="30">
      <c r="A98" s="172" t="s">
        <v>443</v>
      </c>
      <c r="B98" s="172" t="s">
        <v>441</v>
      </c>
      <c r="C98" s="172">
        <v>27.5</v>
      </c>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row>
    <row r="99" spans="1:42" ht="16.5">
      <c r="A99" s="171" t="s">
        <v>444</v>
      </c>
      <c r="B99" s="171" t="s">
        <v>441</v>
      </c>
      <c r="C99" s="171">
        <v>95</v>
      </c>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row>
    <row r="100" spans="1:42" ht="16.5">
      <c r="A100" s="172" t="s">
        <v>445</v>
      </c>
      <c r="B100" s="172" t="s">
        <v>394</v>
      </c>
      <c r="C100" s="172" t="s">
        <v>446</v>
      </c>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row>
    <row r="101" spans="1:42" ht="16.5">
      <c r="A101" s="171" t="s">
        <v>447</v>
      </c>
      <c r="B101" s="171" t="s">
        <v>394</v>
      </c>
      <c r="C101" s="171">
        <v>4</v>
      </c>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row>
    <row r="102" spans="1:42" ht="16.5">
      <c r="A102" s="175" t="s">
        <v>448</v>
      </c>
      <c r="B102" s="172"/>
      <c r="C102" s="172"/>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row>
    <row r="103" spans="1:42" ht="16.5">
      <c r="A103" s="171" t="s">
        <v>449</v>
      </c>
      <c r="B103" s="171" t="s">
        <v>450</v>
      </c>
      <c r="C103" s="171">
        <v>5</v>
      </c>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row>
    <row r="104" spans="1:42" ht="16.5">
      <c r="A104" s="172" t="s">
        <v>451</v>
      </c>
      <c r="B104" s="172" t="s">
        <v>452</v>
      </c>
      <c r="C104" s="172">
        <v>11</v>
      </c>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row>
    <row r="105" spans="1:42" ht="37.15" customHeight="1">
      <c r="A105" s="1573" t="s">
        <v>229</v>
      </c>
      <c r="B105" s="1574"/>
      <c r="C105" s="1575"/>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row>
    <row r="106" spans="1:42" ht="46.9" customHeight="1">
      <c r="A106" s="1573" t="s">
        <v>587</v>
      </c>
      <c r="B106" s="1574"/>
      <c r="C106" s="1575"/>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row>
    <row r="107" spans="1:42" ht="42" customHeight="1">
      <c r="A107" s="1576"/>
      <c r="B107" s="1576"/>
      <c r="C107" s="1576"/>
      <c r="D107" s="177"/>
      <c r="E107" s="177"/>
      <c r="F107" s="177"/>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row>
    <row r="108" spans="1:42" ht="16.5">
      <c r="A108" s="178"/>
      <c r="B108" s="178"/>
      <c r="C108" s="178"/>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c r="AN108" s="166"/>
      <c r="AO108" s="166"/>
      <c r="AP108" s="166"/>
    </row>
    <row r="109" spans="1:42" ht="16.5">
      <c r="A109" s="178"/>
      <c r="B109" s="178"/>
      <c r="C109" s="178"/>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row>
    <row r="110" spans="1:42" ht="16.5">
      <c r="A110" s="178"/>
      <c r="B110" s="178"/>
      <c r="C110" s="178"/>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row>
    <row r="111" spans="1:42" ht="16.5">
      <c r="A111" s="178"/>
      <c r="B111" s="178"/>
      <c r="C111" s="178"/>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row>
    <row r="112" spans="1:42" ht="16.5">
      <c r="A112" s="178"/>
      <c r="B112" s="178"/>
      <c r="C112" s="178"/>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c r="AN112" s="166"/>
      <c r="AO112" s="166"/>
      <c r="AP112" s="166"/>
    </row>
    <row r="113" spans="1:42" ht="16.5">
      <c r="A113" s="178"/>
      <c r="B113" s="178"/>
      <c r="C113" s="178"/>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row>
    <row r="114" spans="1:42" ht="16.5">
      <c r="A114" s="178"/>
      <c r="B114" s="178"/>
      <c r="C114" s="178"/>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row>
    <row r="115" spans="1:42" ht="16.5">
      <c r="A115" s="178"/>
      <c r="B115" s="178"/>
      <c r="C115" s="178"/>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c r="AE115" s="166"/>
      <c r="AF115" s="166"/>
      <c r="AG115" s="166"/>
      <c r="AH115" s="166"/>
      <c r="AI115" s="166"/>
      <c r="AJ115" s="166"/>
      <c r="AK115" s="166"/>
      <c r="AL115" s="166"/>
      <c r="AM115" s="166"/>
      <c r="AN115" s="166"/>
      <c r="AO115" s="166"/>
      <c r="AP115" s="166"/>
    </row>
    <row r="116" spans="1:42" ht="16.5">
      <c r="A116" s="178"/>
      <c r="B116" s="178"/>
      <c r="C116" s="178"/>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E116" s="166"/>
      <c r="AF116" s="166"/>
      <c r="AG116" s="166"/>
      <c r="AH116" s="166"/>
      <c r="AI116" s="166"/>
      <c r="AJ116" s="166"/>
      <c r="AK116" s="166"/>
      <c r="AL116" s="166"/>
      <c r="AM116" s="166"/>
      <c r="AN116" s="166"/>
      <c r="AO116" s="166"/>
      <c r="AP116" s="166"/>
    </row>
    <row r="117" spans="1:42" ht="16.5">
      <c r="A117" s="178"/>
      <c r="B117" s="178"/>
      <c r="C117" s="178"/>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66"/>
      <c r="AJ117" s="166"/>
      <c r="AK117" s="166"/>
      <c r="AL117" s="166"/>
      <c r="AM117" s="166"/>
      <c r="AN117" s="166"/>
      <c r="AO117" s="166"/>
      <c r="AP117" s="166"/>
    </row>
    <row r="118" spans="1:42" ht="16.5">
      <c r="A118" s="178"/>
      <c r="B118" s="178"/>
      <c r="C118" s="178"/>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row>
    <row r="119" spans="1:42" ht="16.5">
      <c r="A119" s="178"/>
      <c r="B119" s="178"/>
      <c r="C119" s="178"/>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row>
    <row r="120" spans="1:42" ht="16.5">
      <c r="A120" s="178"/>
      <c r="B120" s="178"/>
      <c r="C120" s="178"/>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row>
    <row r="121" spans="1:42" ht="16.5">
      <c r="A121" s="178"/>
      <c r="B121" s="178"/>
      <c r="C121" s="178"/>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row>
    <row r="122" spans="1:42" ht="16.5">
      <c r="A122" s="178"/>
      <c r="B122" s="178"/>
      <c r="C122" s="178"/>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row>
    <row r="123" spans="1:42" ht="16.5">
      <c r="A123" s="178"/>
      <c r="B123" s="178"/>
      <c r="C123" s="178"/>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row>
    <row r="124" spans="1:42" ht="16.5">
      <c r="A124" s="178"/>
      <c r="B124" s="178"/>
      <c r="C124" s="178"/>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row>
    <row r="125" spans="1:42" ht="16.5">
      <c r="A125" s="178"/>
      <c r="B125" s="178"/>
      <c r="C125" s="178"/>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row>
    <row r="126" spans="1:42" ht="16.5">
      <c r="A126" s="178"/>
      <c r="B126" s="178"/>
      <c r="C126" s="178"/>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row>
    <row r="127" spans="1:42" ht="16.5">
      <c r="A127" s="178"/>
      <c r="B127" s="178"/>
      <c r="C127" s="178"/>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row>
    <row r="128" spans="1:42" ht="16.5">
      <c r="A128" s="178"/>
      <c r="B128" s="178"/>
      <c r="C128" s="178"/>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row>
    <row r="129" spans="1:42" ht="16.5">
      <c r="A129" s="178"/>
      <c r="B129" s="178"/>
      <c r="C129" s="178"/>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6"/>
      <c r="AI129" s="166"/>
      <c r="AJ129" s="166"/>
      <c r="AK129" s="166"/>
      <c r="AL129" s="166"/>
      <c r="AM129" s="166"/>
      <c r="AN129" s="166"/>
      <c r="AO129" s="166"/>
      <c r="AP129" s="166"/>
    </row>
    <row r="130" spans="1:42" ht="16.5">
      <c r="A130" s="178"/>
      <c r="B130" s="178"/>
      <c r="C130" s="178"/>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row>
    <row r="131" spans="1:42" ht="16.5">
      <c r="A131" s="178"/>
      <c r="B131" s="178"/>
      <c r="C131" s="178"/>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66"/>
      <c r="AI131" s="166"/>
      <c r="AJ131" s="166"/>
      <c r="AK131" s="166"/>
      <c r="AL131" s="166"/>
      <c r="AM131" s="166"/>
      <c r="AN131" s="166"/>
      <c r="AO131" s="166"/>
      <c r="AP131" s="166"/>
    </row>
    <row r="132" spans="1:42" ht="16.5">
      <c r="A132" s="178"/>
      <c r="B132" s="178"/>
      <c r="C132" s="178"/>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66"/>
      <c r="AI132" s="166"/>
      <c r="AJ132" s="166"/>
      <c r="AK132" s="166"/>
      <c r="AL132" s="166"/>
      <c r="AM132" s="166"/>
      <c r="AN132" s="166"/>
      <c r="AO132" s="166"/>
      <c r="AP132" s="166"/>
    </row>
    <row r="133" spans="1:42" ht="16.5">
      <c r="A133" s="178"/>
      <c r="B133" s="178"/>
      <c r="C133" s="178"/>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row>
    <row r="134" spans="1:42" ht="16.5">
      <c r="A134" s="178"/>
      <c r="B134" s="178"/>
      <c r="C134" s="178"/>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row>
    <row r="135" spans="1:42" ht="16.5">
      <c r="A135" s="178"/>
      <c r="B135" s="178"/>
      <c r="C135" s="178"/>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row>
    <row r="136" spans="1:42" ht="16.5">
      <c r="A136" s="178"/>
      <c r="B136" s="178"/>
      <c r="C136" s="178"/>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row>
    <row r="137" spans="1:42" ht="16.5">
      <c r="A137" s="178"/>
      <c r="B137" s="178"/>
      <c r="C137" s="178"/>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166"/>
      <c r="AL137" s="166"/>
      <c r="AM137" s="166"/>
      <c r="AN137" s="166"/>
      <c r="AO137" s="166"/>
      <c r="AP137" s="166"/>
    </row>
    <row r="138" spans="1:42" ht="16.5">
      <c r="A138" s="178"/>
      <c r="B138" s="178"/>
      <c r="C138" s="178"/>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6"/>
      <c r="AE138" s="166"/>
      <c r="AF138" s="166"/>
      <c r="AG138" s="166"/>
      <c r="AH138" s="166"/>
      <c r="AI138" s="166"/>
      <c r="AJ138" s="166"/>
      <c r="AK138" s="166"/>
      <c r="AL138" s="166"/>
      <c r="AM138" s="166"/>
      <c r="AN138" s="166"/>
      <c r="AO138" s="166"/>
      <c r="AP138" s="166"/>
    </row>
    <row r="139" spans="1:42" ht="16.5">
      <c r="A139" s="178"/>
      <c r="B139" s="178"/>
      <c r="C139" s="178"/>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c r="AN139" s="166"/>
      <c r="AO139" s="166"/>
      <c r="AP139" s="166"/>
    </row>
    <row r="140" spans="1:42" ht="16.5">
      <c r="A140" s="178"/>
      <c r="B140" s="178"/>
      <c r="C140" s="178"/>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c r="AB140" s="166"/>
      <c r="AC140" s="166"/>
      <c r="AD140" s="166"/>
      <c r="AE140" s="166"/>
      <c r="AF140" s="166"/>
      <c r="AG140" s="166"/>
      <c r="AH140" s="166"/>
      <c r="AI140" s="166"/>
      <c r="AJ140" s="166"/>
      <c r="AK140" s="166"/>
      <c r="AL140" s="166"/>
      <c r="AM140" s="166"/>
      <c r="AN140" s="166"/>
      <c r="AO140" s="166"/>
      <c r="AP140" s="166"/>
    </row>
    <row r="141" spans="1:42" ht="16.5">
      <c r="A141" s="178"/>
      <c r="B141" s="178"/>
      <c r="C141" s="178"/>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row>
    <row r="142" spans="1:42" ht="16.5">
      <c r="A142" s="178"/>
      <c r="B142" s="178"/>
      <c r="C142" s="178"/>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row>
    <row r="143" spans="1:42" ht="16.5">
      <c r="A143" s="178"/>
      <c r="B143" s="178"/>
      <c r="C143" s="178"/>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c r="AB143" s="166"/>
      <c r="AC143" s="166"/>
      <c r="AD143" s="166"/>
      <c r="AE143" s="166"/>
      <c r="AF143" s="166"/>
      <c r="AG143" s="166"/>
      <c r="AH143" s="166"/>
      <c r="AI143" s="166"/>
      <c r="AJ143" s="166"/>
      <c r="AK143" s="166"/>
      <c r="AL143" s="166"/>
      <c r="AM143" s="166"/>
      <c r="AN143" s="166"/>
      <c r="AO143" s="166"/>
      <c r="AP143" s="166"/>
    </row>
    <row r="144" spans="1:42" ht="16.5">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c r="AB144" s="166"/>
      <c r="AC144" s="166"/>
      <c r="AD144" s="166"/>
      <c r="AE144" s="166"/>
      <c r="AF144" s="166"/>
      <c r="AG144" s="166"/>
      <c r="AH144" s="166"/>
      <c r="AI144" s="166"/>
      <c r="AJ144" s="166"/>
      <c r="AK144" s="166"/>
      <c r="AL144" s="166"/>
      <c r="AM144" s="166"/>
      <c r="AN144" s="166"/>
      <c r="AO144" s="166"/>
      <c r="AP144" s="166"/>
    </row>
    <row r="145" spans="1:42" ht="16.5">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c r="AN145" s="166"/>
      <c r="AO145" s="166"/>
      <c r="AP145" s="166"/>
    </row>
    <row r="146" spans="1:42" ht="16.5">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row>
    <row r="147" spans="1:42" ht="16.5">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row>
    <row r="148" spans="1:42" ht="16.5">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row>
    <row r="149" spans="1:42" ht="16.5">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row>
    <row r="150" spans="1:42" ht="16.5">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row>
    <row r="151" spans="1:42" ht="16.5">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row>
    <row r="152" spans="1:42" ht="16.5">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row>
    <row r="153" spans="1:42" ht="16.5">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row>
    <row r="154" spans="1:42" ht="16.5">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row>
    <row r="155" spans="1:42" ht="16.5">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row>
    <row r="156" spans="1:42" ht="16.5">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row>
    <row r="157" spans="1:42" ht="16.5">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row>
    <row r="158" spans="1:42" ht="16.5">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row>
    <row r="159" spans="1:42" ht="16.5">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row>
    <row r="160" spans="1:42" ht="16.5">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row>
    <row r="161" spans="1:42" ht="16.5">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row>
    <row r="162" spans="1:42" ht="16.5">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row>
    <row r="163" spans="1:42" ht="16.5">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row>
    <row r="164" spans="1:42" ht="16.5">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row>
    <row r="165" spans="1:42" ht="16.5">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row>
    <row r="166" spans="1:42" ht="16.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row>
    <row r="167" spans="1:42" ht="16.5">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row>
  </sheetData>
  <sheetProtection sheet="1"/>
  <customSheetViews>
    <customSheetView guid="{D1431318-1DB8-4C45-813B-5A8065DFC797}">
      <selection activeCell="A105" sqref="A105:C105"/>
      <rowBreaks count="2" manualBreakCount="2">
        <brk id="37" max="2" man="1"/>
        <brk id="79" max="2" man="1"/>
      </rowBreaks>
      <pageMargins left="0.4" right="0.4" top="0.4" bottom="0.4" header="0.5" footer="0.5"/>
      <printOptions horizontalCentered="1"/>
      <pageSetup scale="83" orientation="portrait" r:id="rId1"/>
      <headerFooter alignWithMargins="0"/>
    </customSheetView>
  </customSheetViews>
  <mergeCells count="22">
    <mergeCell ref="A17:A19"/>
    <mergeCell ref="A20:A22"/>
    <mergeCell ref="A23:A24"/>
    <mergeCell ref="A1:B1"/>
    <mergeCell ref="A2:B2"/>
    <mergeCell ref="A3:C3"/>
    <mergeCell ref="A5:A6"/>
    <mergeCell ref="A7:A8"/>
    <mergeCell ref="A9:A10"/>
    <mergeCell ref="A106:C106"/>
    <mergeCell ref="A107:C107"/>
    <mergeCell ref="A35:A37"/>
    <mergeCell ref="A39:A44"/>
    <mergeCell ref="A53:A54"/>
    <mergeCell ref="A59:A61"/>
    <mergeCell ref="A67:A70"/>
    <mergeCell ref="A81:A85"/>
    <mergeCell ref="A25:A27"/>
    <mergeCell ref="A28:A29"/>
    <mergeCell ref="A87:A89"/>
    <mergeCell ref="A105:C105"/>
    <mergeCell ref="A30:A32"/>
  </mergeCells>
  <printOptions horizontalCentered="1"/>
  <pageMargins left="0.4" right="0.4" top="0.4" bottom="0.4" header="0.5" footer="0.5"/>
  <pageSetup scale="83" orientation="portrait" r:id="rId2"/>
  <headerFooter alignWithMargins="0"/>
  <rowBreaks count="2" manualBreakCount="2">
    <brk id="37" max="2" man="1"/>
    <brk id="79" max="2"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indexed="43"/>
  </sheetPr>
  <dimension ref="A1:AY63"/>
  <sheetViews>
    <sheetView view="pageBreakPreview" zoomScaleNormal="100" zoomScaleSheetLayoutView="100" workbookViewId="0">
      <selection activeCell="E19" sqref="E19"/>
    </sheetView>
  </sheetViews>
  <sheetFormatPr defaultRowHeight="12.75"/>
  <sheetData>
    <row r="1" spans="1:51" ht="24" customHeight="1">
      <c r="A1" s="1588" t="s">
        <v>205</v>
      </c>
      <c r="B1" s="1589"/>
      <c r="C1" s="1589"/>
      <c r="D1" s="1589"/>
      <c r="E1" s="1590"/>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row>
    <row r="2" spans="1:51" ht="24" customHeight="1">
      <c r="A2" s="1591"/>
      <c r="B2" s="1592"/>
      <c r="C2" s="1592"/>
      <c r="D2" s="1592"/>
      <c r="E2" s="1593"/>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row>
    <row r="3" spans="1:51" ht="16.5">
      <c r="A3" s="1594" t="s">
        <v>459</v>
      </c>
      <c r="B3" s="1595"/>
      <c r="C3" s="1595"/>
      <c r="D3" s="1595"/>
      <c r="E3" s="1596"/>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row>
    <row r="4" spans="1:51" ht="16.5">
      <c r="A4" s="1597"/>
      <c r="B4" s="1598"/>
      <c r="C4" s="1598"/>
      <c r="D4" s="1598"/>
      <c r="E4" s="159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row>
    <row r="5" spans="1:51" ht="16.5">
      <c r="A5" s="1604" t="s">
        <v>331</v>
      </c>
      <c r="B5" s="1605"/>
      <c r="C5" s="1605"/>
      <c r="D5" s="1605"/>
      <c r="E5" s="1606"/>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row>
    <row r="6" spans="1:51" ht="45">
      <c r="A6" s="180" t="s">
        <v>332</v>
      </c>
      <c r="B6" s="180" t="s">
        <v>333</v>
      </c>
      <c r="C6" s="180" t="s">
        <v>334</v>
      </c>
      <c r="D6" s="180" t="s">
        <v>335</v>
      </c>
      <c r="E6" s="180" t="s">
        <v>336</v>
      </c>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row>
    <row r="7" spans="1:51" ht="16.5">
      <c r="A7" s="181" t="s">
        <v>337</v>
      </c>
      <c r="B7" s="182">
        <v>300</v>
      </c>
      <c r="C7" s="182">
        <v>225</v>
      </c>
      <c r="D7" s="182">
        <v>180</v>
      </c>
      <c r="E7" s="182" t="s">
        <v>338</v>
      </c>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row>
    <row r="8" spans="1:51" ht="16.5">
      <c r="A8" s="180">
        <v>3</v>
      </c>
      <c r="B8" s="183">
        <v>450</v>
      </c>
      <c r="C8" s="183">
        <v>300</v>
      </c>
      <c r="D8" s="183">
        <v>218</v>
      </c>
      <c r="E8" s="183" t="s">
        <v>338</v>
      </c>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row>
    <row r="9" spans="1:51" ht="16.5">
      <c r="A9" s="181">
        <v>4</v>
      </c>
      <c r="B9" s="182">
        <v>600</v>
      </c>
      <c r="C9" s="182">
        <v>375</v>
      </c>
      <c r="D9" s="182">
        <v>256</v>
      </c>
      <c r="E9" s="182" t="s">
        <v>338</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row>
    <row r="10" spans="1:51" ht="16.5">
      <c r="A10" s="180">
        <v>5</v>
      </c>
      <c r="B10" s="183">
        <v>750</v>
      </c>
      <c r="C10" s="183">
        <v>450</v>
      </c>
      <c r="D10" s="183">
        <v>294</v>
      </c>
      <c r="E10" s="183" t="s">
        <v>338</v>
      </c>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row>
    <row r="11" spans="1:51" ht="16.5">
      <c r="A11" s="181">
        <v>6</v>
      </c>
      <c r="B11" s="182">
        <v>900</v>
      </c>
      <c r="C11" s="182">
        <v>525</v>
      </c>
      <c r="D11" s="182">
        <v>332</v>
      </c>
      <c r="E11" s="182" t="s">
        <v>338</v>
      </c>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row>
    <row r="12" spans="1:51" ht="16.5">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row>
    <row r="13" spans="1:51" ht="30" customHeight="1">
      <c r="A13" s="1600" t="s">
        <v>204</v>
      </c>
      <c r="B13" s="1600"/>
      <c r="C13" s="1600"/>
      <c r="D13" s="1600"/>
      <c r="E13" s="1600"/>
      <c r="F13" s="1601"/>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row>
    <row r="14" spans="1:51" ht="145.15" customHeight="1">
      <c r="A14" s="1368" t="s">
        <v>468</v>
      </c>
      <c r="B14" s="1607"/>
      <c r="C14" s="1607"/>
      <c r="D14" s="1607"/>
      <c r="E14" s="1607"/>
      <c r="F14" s="1607"/>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row>
    <row r="15" spans="1:51" ht="113.45" customHeight="1">
      <c r="A15" s="1602" t="s">
        <v>469</v>
      </c>
      <c r="B15" s="1601"/>
      <c r="C15" s="1601"/>
      <c r="D15" s="1601"/>
      <c r="E15" s="1601"/>
      <c r="F15" s="1601"/>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row>
    <row r="16" spans="1:51" ht="123.75" customHeight="1">
      <c r="A16" s="1602" t="s">
        <v>470</v>
      </c>
      <c r="B16" s="1600"/>
      <c r="C16" s="1600"/>
      <c r="D16" s="1600"/>
      <c r="E16" s="1600"/>
      <c r="F16" s="1603"/>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row>
    <row r="17" spans="1:51" ht="16.5">
      <c r="A17" s="184"/>
      <c r="B17" s="184"/>
      <c r="C17" s="184"/>
      <c r="D17" s="184"/>
      <c r="E17" s="184"/>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row>
    <row r="18" spans="1:51" ht="16.5">
      <c r="A18" s="184"/>
      <c r="B18" s="184"/>
      <c r="C18" s="184"/>
      <c r="D18" s="184"/>
      <c r="E18" s="184"/>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row>
    <row r="19" spans="1:51" ht="16.5">
      <c r="A19" s="184"/>
      <c r="B19" s="184"/>
      <c r="C19" s="184"/>
      <c r="D19" s="184"/>
      <c r="E19" s="184"/>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row>
    <row r="20" spans="1:51" ht="16.5">
      <c r="A20" s="184"/>
      <c r="B20" s="184"/>
      <c r="C20" s="184"/>
      <c r="D20" s="184"/>
      <c r="E20" s="184"/>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row>
    <row r="21" spans="1:51" ht="16.5">
      <c r="A21" s="184"/>
      <c r="B21" s="184"/>
      <c r="C21" s="184"/>
      <c r="D21" s="184"/>
      <c r="E21" s="184"/>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row>
    <row r="22" spans="1:51" ht="16.5">
      <c r="A22" s="184"/>
      <c r="B22" s="184"/>
      <c r="C22" s="184"/>
      <c r="D22" s="184"/>
      <c r="E22" s="184"/>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row>
    <row r="23" spans="1:51" ht="16.5">
      <c r="A23" s="184"/>
      <c r="B23" s="184"/>
      <c r="C23" s="184"/>
      <c r="D23" s="184"/>
      <c r="E23" s="184"/>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row>
    <row r="24" spans="1:51" ht="16.5">
      <c r="A24" s="184"/>
      <c r="B24" s="184"/>
      <c r="C24" s="184"/>
      <c r="D24" s="184"/>
      <c r="E24" s="184"/>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row>
    <row r="25" spans="1:51" ht="16.5">
      <c r="A25" s="184"/>
      <c r="B25" s="184"/>
      <c r="C25" s="184"/>
      <c r="D25" s="184"/>
      <c r="E25" s="184"/>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row>
    <row r="26" spans="1:51" ht="16.5">
      <c r="A26" s="184"/>
      <c r="B26" s="184"/>
      <c r="C26" s="184"/>
      <c r="D26" s="184"/>
      <c r="E26" s="184"/>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row>
    <row r="27" spans="1:51" ht="16.5">
      <c r="A27" s="184"/>
      <c r="B27" s="184"/>
      <c r="C27" s="184"/>
      <c r="D27" s="184"/>
      <c r="E27" s="184"/>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row>
    <row r="28" spans="1:51" ht="16.5">
      <c r="A28" s="179"/>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row>
    <row r="29" spans="1:51" ht="16.5">
      <c r="A29" s="179"/>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row>
    <row r="30" spans="1:51" ht="16.5">
      <c r="A30" s="179"/>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row>
    <row r="31" spans="1:51" ht="16.5">
      <c r="A31" s="179"/>
      <c r="B31" s="179"/>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row>
    <row r="32" spans="1:51" ht="16.5">
      <c r="A32" s="179"/>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row>
    <row r="33" spans="1:51" ht="16.5">
      <c r="A33" s="179"/>
      <c r="B33" s="179"/>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row>
    <row r="34" spans="1:51" ht="16.5">
      <c r="A34" s="179"/>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row>
    <row r="35" spans="1:51" ht="16.5">
      <c r="A35" s="179"/>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row>
    <row r="36" spans="1:51" ht="16.5">
      <c r="A36" s="179"/>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row>
    <row r="37" spans="1:51" ht="16.5">
      <c r="A37" s="179"/>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row>
    <row r="38" spans="1:51" ht="16.5">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row>
    <row r="39" spans="1:51" ht="16.5">
      <c r="A39" s="179"/>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row>
    <row r="40" spans="1:51" ht="16.5">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row>
    <row r="41" spans="1:51" ht="16.5">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row>
    <row r="42" spans="1:51" ht="16.5">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row>
    <row r="43" spans="1:51" ht="16.5">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row>
    <row r="44" spans="1:51" ht="16.5">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row>
    <row r="45" spans="1:51" ht="16.5">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row>
    <row r="46" spans="1:51" ht="16.5">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row>
    <row r="47" spans="1:51" ht="16.5">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row>
    <row r="48" spans="1:51" ht="16.5">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row>
    <row r="49" spans="1:51" ht="16.5">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row>
    <row r="50" spans="1:51" ht="16.5">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row>
    <row r="51" spans="1:51" ht="16.5">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row>
    <row r="52" spans="1:51" ht="16.5">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row>
    <row r="53" spans="1:51" ht="16.5">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row>
    <row r="54" spans="1:51" ht="16.5">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row>
    <row r="55" spans="1:51" ht="16.5">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row>
    <row r="56" spans="1:51" ht="16.5">
      <c r="A56" s="179"/>
      <c r="B56" s="179"/>
      <c r="C56" s="179"/>
      <c r="D56" s="179"/>
      <c r="E56" s="179"/>
      <c r="F56" s="185"/>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row>
    <row r="57" spans="1:51" ht="16.5">
      <c r="A57" s="179"/>
      <c r="B57" s="179"/>
      <c r="C57" s="179"/>
      <c r="D57" s="179"/>
      <c r="E57" s="179"/>
      <c r="F57" s="185"/>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row>
    <row r="58" spans="1:51" ht="16.5">
      <c r="A58" s="179"/>
      <c r="B58" s="179"/>
      <c r="C58" s="179"/>
      <c r="D58" s="179"/>
      <c r="E58" s="179"/>
      <c r="F58" s="185"/>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row>
    <row r="59" spans="1:51" ht="16.5">
      <c r="A59" s="179"/>
      <c r="B59" s="179"/>
      <c r="C59" s="179"/>
      <c r="D59" s="179"/>
      <c r="E59" s="179"/>
      <c r="F59" s="185"/>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row>
    <row r="60" spans="1:51" ht="16.5">
      <c r="A60" s="179"/>
      <c r="B60" s="179"/>
      <c r="C60" s="179"/>
      <c r="D60" s="179"/>
      <c r="E60" s="179"/>
      <c r="F60" s="185"/>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row>
    <row r="61" spans="1:51" ht="16.5">
      <c r="A61" s="179"/>
      <c r="B61" s="179"/>
      <c r="C61" s="179"/>
      <c r="D61" s="179"/>
      <c r="E61" s="179"/>
      <c r="F61" s="185"/>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row>
    <row r="62" spans="1:51" ht="16.5">
      <c r="A62" s="179"/>
      <c r="B62" s="179"/>
      <c r="C62" s="179"/>
      <c r="D62" s="179"/>
      <c r="E62" s="179"/>
      <c r="F62" s="185"/>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row>
    <row r="63" spans="1:51" ht="16.5">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row>
  </sheetData>
  <sheetProtection sheet="1"/>
  <customSheetViews>
    <customSheetView guid="{D1431318-1DB8-4C45-813B-5A8065DFC797}" showPageBreaks="1" printArea="1" view="pageBreakPreview">
      <selection activeCell="E19" sqref="E19"/>
      <pageMargins left="0.75" right="0.75" top="1" bottom="1" header="0.5" footer="0.5"/>
      <pageSetup scale="95" orientation="portrait" r:id="rId1"/>
      <headerFooter alignWithMargins="0"/>
    </customSheetView>
  </customSheetViews>
  <mergeCells count="7">
    <mergeCell ref="A1:E2"/>
    <mergeCell ref="A3:E4"/>
    <mergeCell ref="A13:F13"/>
    <mergeCell ref="A16:F16"/>
    <mergeCell ref="A15:F15"/>
    <mergeCell ref="A5:E5"/>
    <mergeCell ref="A14:F14"/>
  </mergeCells>
  <phoneticPr fontId="17" type="noConversion"/>
  <pageMargins left="0.75" right="0.75" top="1" bottom="1" header="0.5" footer="0.5"/>
  <pageSetup scale="95" orientation="portrait"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tabColor theme="9" tint="0.79998168889431442"/>
    <pageSetUpPr fitToPage="1"/>
  </sheetPr>
  <dimension ref="A1:AJ95"/>
  <sheetViews>
    <sheetView topLeftCell="A3" zoomScaleNormal="100" workbookViewId="0">
      <selection activeCell="D26" sqref="D26"/>
    </sheetView>
  </sheetViews>
  <sheetFormatPr defaultColWidth="8.85546875" defaultRowHeight="15"/>
  <cols>
    <col min="1" max="1" width="9.42578125" style="1" bestFit="1" customWidth="1"/>
    <col min="2" max="2" width="19.5703125" style="1" bestFit="1" customWidth="1"/>
    <col min="3" max="3" width="30.7109375" style="1" bestFit="1" customWidth="1"/>
    <col min="4" max="4" width="19.140625" style="1" bestFit="1" customWidth="1"/>
    <col min="5" max="5" width="24.85546875" style="1" bestFit="1" customWidth="1"/>
    <col min="6" max="6" width="14.42578125" style="1" bestFit="1" customWidth="1"/>
    <col min="7" max="7" width="10.140625" style="1" bestFit="1" customWidth="1"/>
    <col min="8" max="8" width="12.42578125" style="1" bestFit="1" customWidth="1"/>
    <col min="9" max="9" width="7.42578125" style="1" bestFit="1" customWidth="1"/>
    <col min="10" max="10" width="29.85546875" style="1" bestFit="1" customWidth="1"/>
    <col min="11" max="11" width="7.5703125" style="1" bestFit="1" customWidth="1"/>
    <col min="12" max="12" width="41.7109375" style="1" bestFit="1" customWidth="1"/>
    <col min="13" max="13" width="99.7109375" style="1" customWidth="1"/>
    <col min="14" max="14" width="8.85546875" style="1"/>
    <col min="15" max="15" width="15" style="1" customWidth="1"/>
    <col min="16" max="16" width="30.85546875" style="1" customWidth="1"/>
    <col min="17" max="32" width="8.85546875" style="1"/>
    <col min="33" max="33" width="41.7109375" style="1" bestFit="1" customWidth="1"/>
    <col min="34" max="34" width="50.5703125" style="1" bestFit="1" customWidth="1"/>
    <col min="35" max="16384" width="8.85546875" style="1"/>
  </cols>
  <sheetData>
    <row r="1" spans="1:36">
      <c r="A1" s="275" t="s">
        <v>634</v>
      </c>
      <c r="B1" s="275" t="s">
        <v>660</v>
      </c>
      <c r="C1" s="275" t="s">
        <v>661</v>
      </c>
      <c r="D1" s="275" t="s">
        <v>662</v>
      </c>
      <c r="E1" s="275" t="s">
        <v>663</v>
      </c>
      <c r="F1" s="275" t="s">
        <v>668</v>
      </c>
      <c r="G1" s="275" t="s">
        <v>643</v>
      </c>
      <c r="H1" s="275" t="s">
        <v>642</v>
      </c>
      <c r="I1" s="275" t="s">
        <v>644</v>
      </c>
      <c r="J1" s="275" t="s">
        <v>640</v>
      </c>
      <c r="K1" s="275" t="s">
        <v>646</v>
      </c>
      <c r="L1" s="275" t="s">
        <v>669</v>
      </c>
      <c r="M1" s="275" t="s">
        <v>670</v>
      </c>
    </row>
    <row r="2" spans="1:36">
      <c r="A2" s="722">
        <v>0</v>
      </c>
      <c r="B2" s="399" t="s">
        <v>69</v>
      </c>
      <c r="C2" s="635" t="s">
        <v>213</v>
      </c>
      <c r="D2" s="635" t="s">
        <v>215</v>
      </c>
      <c r="E2" s="635" t="s">
        <v>240</v>
      </c>
      <c r="F2" s="635" t="s">
        <v>175</v>
      </c>
      <c r="G2" s="723">
        <v>4</v>
      </c>
      <c r="H2" s="724">
        <v>4</v>
      </c>
      <c r="I2" s="741">
        <v>1</v>
      </c>
      <c r="J2" s="400" t="s">
        <v>631</v>
      </c>
      <c r="K2" s="400">
        <v>1</v>
      </c>
      <c r="L2" s="604" t="s">
        <v>429</v>
      </c>
      <c r="M2" s="725" t="s">
        <v>455</v>
      </c>
    </row>
    <row r="3" spans="1:36">
      <c r="A3" s="726">
        <v>1</v>
      </c>
      <c r="B3" s="399" t="s">
        <v>576</v>
      </c>
      <c r="C3" s="635" t="s">
        <v>214</v>
      </c>
      <c r="D3" s="635" t="s">
        <v>218</v>
      </c>
      <c r="E3" s="635" t="s">
        <v>243</v>
      </c>
      <c r="F3" s="635" t="s">
        <v>176</v>
      </c>
      <c r="G3" s="723">
        <v>3.85</v>
      </c>
      <c r="H3" s="724">
        <v>4.17</v>
      </c>
      <c r="I3" s="741">
        <v>1.25</v>
      </c>
      <c r="J3" s="400" t="s">
        <v>641</v>
      </c>
      <c r="K3" s="400">
        <v>2</v>
      </c>
      <c r="L3" s="604" t="s">
        <v>447</v>
      </c>
      <c r="M3" s="727" t="s">
        <v>400</v>
      </c>
    </row>
    <row r="4" spans="1:36">
      <c r="A4" s="726">
        <v>2</v>
      </c>
      <c r="B4" s="400" t="s">
        <v>762</v>
      </c>
      <c r="C4" s="635" t="s">
        <v>170</v>
      </c>
      <c r="D4" s="635" t="s">
        <v>231</v>
      </c>
      <c r="E4" s="635" t="s">
        <v>246</v>
      </c>
      <c r="F4" s="635" t="s">
        <v>177</v>
      </c>
      <c r="G4" s="723">
        <v>3.7</v>
      </c>
      <c r="H4" s="724">
        <v>4.3499999999999996</v>
      </c>
      <c r="I4" s="741">
        <v>1.5</v>
      </c>
      <c r="K4" s="400">
        <v>3</v>
      </c>
      <c r="L4" s="728" t="s">
        <v>203</v>
      </c>
      <c r="M4" s="727" t="s">
        <v>398</v>
      </c>
    </row>
    <row r="5" spans="1:36">
      <c r="A5" s="726">
        <v>3</v>
      </c>
      <c r="B5" s="400" t="s">
        <v>763</v>
      </c>
      <c r="C5" s="635" t="s">
        <v>217</v>
      </c>
      <c r="D5" s="635" t="s">
        <v>235</v>
      </c>
      <c r="E5" s="635" t="s">
        <v>248</v>
      </c>
      <c r="F5" s="635" t="s">
        <v>178</v>
      </c>
      <c r="G5" s="723">
        <v>3.57</v>
      </c>
      <c r="H5" s="724">
        <v>4.54</v>
      </c>
      <c r="I5" s="741">
        <v>2</v>
      </c>
      <c r="J5" s="275" t="s">
        <v>655</v>
      </c>
      <c r="K5" s="400">
        <v>4</v>
      </c>
      <c r="L5" s="604" t="s">
        <v>370</v>
      </c>
      <c r="M5" s="727" t="s">
        <v>434</v>
      </c>
    </row>
    <row r="6" spans="1:36">
      <c r="A6" s="726">
        <v>4</v>
      </c>
      <c r="B6" s="399" t="s">
        <v>567</v>
      </c>
      <c r="C6" s="635" t="s">
        <v>230</v>
      </c>
      <c r="D6" s="635" t="s">
        <v>625</v>
      </c>
      <c r="E6" s="635" t="s">
        <v>250</v>
      </c>
      <c r="F6" s="635" t="s">
        <v>179</v>
      </c>
      <c r="G6" s="723">
        <v>3.45</v>
      </c>
      <c r="H6" s="724">
        <v>4.76</v>
      </c>
      <c r="I6" s="741">
        <v>3</v>
      </c>
      <c r="J6" s="742" t="s">
        <v>333</v>
      </c>
      <c r="K6" s="400">
        <v>5</v>
      </c>
      <c r="L6" s="604" t="s">
        <v>372</v>
      </c>
      <c r="M6" s="727" t="s">
        <v>434</v>
      </c>
      <c r="AI6" s="87"/>
      <c r="AJ6" s="87"/>
    </row>
    <row r="7" spans="1:36">
      <c r="A7" s="726">
        <v>5</v>
      </c>
      <c r="B7" s="400" t="s">
        <v>764</v>
      </c>
      <c r="C7" s="635" t="s">
        <v>234</v>
      </c>
      <c r="E7" s="635" t="s">
        <v>265</v>
      </c>
      <c r="F7" s="635" t="s">
        <v>181</v>
      </c>
      <c r="G7" s="723">
        <v>3.33</v>
      </c>
      <c r="H7" s="724">
        <v>5</v>
      </c>
      <c r="I7" s="741">
        <v>4</v>
      </c>
      <c r="J7" s="742" t="s">
        <v>334</v>
      </c>
      <c r="K7" s="400">
        <v>6</v>
      </c>
      <c r="L7" s="604" t="s">
        <v>366</v>
      </c>
      <c r="M7" s="727" t="s">
        <v>361</v>
      </c>
      <c r="AI7" s="87"/>
      <c r="AJ7" s="87"/>
    </row>
    <row r="8" spans="1:36">
      <c r="A8" s="726">
        <v>6</v>
      </c>
      <c r="B8" s="399" t="s">
        <v>765</v>
      </c>
      <c r="C8" s="635" t="s">
        <v>171</v>
      </c>
      <c r="D8" s="275" t="s">
        <v>664</v>
      </c>
      <c r="E8" s="635" t="s">
        <v>268</v>
      </c>
      <c r="F8" s="635" t="s">
        <v>183</v>
      </c>
      <c r="G8" s="723">
        <v>3.23</v>
      </c>
      <c r="H8" s="724">
        <v>5.26</v>
      </c>
      <c r="I8" s="723">
        <v>6</v>
      </c>
      <c r="J8" s="742" t="s">
        <v>335</v>
      </c>
      <c r="K8" s="400">
        <v>7</v>
      </c>
      <c r="L8" s="604" t="s">
        <v>399</v>
      </c>
      <c r="M8" s="727" t="s">
        <v>386</v>
      </c>
    </row>
    <row r="9" spans="1:36">
      <c r="A9" s="726">
        <v>7</v>
      </c>
      <c r="B9" s="400" t="s">
        <v>766</v>
      </c>
      <c r="C9" s="635" t="s">
        <v>172</v>
      </c>
      <c r="D9" s="635" t="s">
        <v>174</v>
      </c>
      <c r="E9" s="635" t="s">
        <v>271</v>
      </c>
      <c r="F9" s="635" t="s">
        <v>185</v>
      </c>
      <c r="G9" s="723">
        <v>3.12</v>
      </c>
      <c r="H9" s="724">
        <v>5.56</v>
      </c>
      <c r="J9" s="742" t="s">
        <v>336</v>
      </c>
      <c r="K9" s="400">
        <v>8</v>
      </c>
      <c r="L9" s="604" t="s">
        <v>419</v>
      </c>
      <c r="M9" s="727" t="s">
        <v>396</v>
      </c>
    </row>
    <row r="10" spans="1:36">
      <c r="A10" s="726">
        <v>8</v>
      </c>
      <c r="B10" s="399" t="s">
        <v>588</v>
      </c>
      <c r="C10" s="635" t="s">
        <v>173</v>
      </c>
      <c r="D10" s="635" t="s">
        <v>577</v>
      </c>
      <c r="E10" s="635" t="s">
        <v>180</v>
      </c>
      <c r="F10" s="635" t="s">
        <v>187</v>
      </c>
      <c r="G10" s="723">
        <v>3.03</v>
      </c>
      <c r="H10" s="724">
        <v>5.88</v>
      </c>
      <c r="K10" s="400">
        <v>9</v>
      </c>
      <c r="L10" s="604" t="s">
        <v>393</v>
      </c>
      <c r="M10" s="727" t="s">
        <v>371</v>
      </c>
    </row>
    <row r="11" spans="1:36">
      <c r="A11" s="726">
        <v>9</v>
      </c>
      <c r="B11" s="399" t="s">
        <v>863</v>
      </c>
      <c r="D11" s="635" t="s">
        <v>264</v>
      </c>
      <c r="E11" s="635" t="s">
        <v>622</v>
      </c>
      <c r="F11" s="635" t="s">
        <v>189</v>
      </c>
      <c r="G11" s="723">
        <v>2.94</v>
      </c>
      <c r="H11" s="724">
        <v>6.25</v>
      </c>
      <c r="J11" s="275" t="s">
        <v>649</v>
      </c>
      <c r="K11" s="400">
        <v>10</v>
      </c>
      <c r="L11" s="604" t="s">
        <v>228</v>
      </c>
      <c r="M11" s="727" t="s">
        <v>349</v>
      </c>
    </row>
    <row r="12" spans="1:36">
      <c r="A12" s="726">
        <v>10</v>
      </c>
      <c r="B12" s="399" t="s">
        <v>568</v>
      </c>
      <c r="C12" s="275" t="s">
        <v>665</v>
      </c>
      <c r="D12" s="635" t="s">
        <v>267</v>
      </c>
      <c r="E12" s="635" t="s">
        <v>184</v>
      </c>
      <c r="F12" s="635" t="s">
        <v>216</v>
      </c>
      <c r="G12" s="723">
        <v>2.86</v>
      </c>
      <c r="H12" s="724">
        <v>6.67</v>
      </c>
      <c r="J12" s="400" t="s">
        <v>147</v>
      </c>
      <c r="K12" s="400">
        <v>11</v>
      </c>
      <c r="L12" s="604" t="s">
        <v>1020</v>
      </c>
      <c r="M12" s="727" t="s">
        <v>425</v>
      </c>
    </row>
    <row r="13" spans="1:36">
      <c r="A13" s="726">
        <v>11</v>
      </c>
      <c r="B13" s="399" t="s">
        <v>864</v>
      </c>
      <c r="C13" s="635" t="s">
        <v>220</v>
      </c>
      <c r="D13" s="635" t="s">
        <v>578</v>
      </c>
      <c r="E13" s="635" t="s">
        <v>186</v>
      </c>
      <c r="F13" s="635" t="s">
        <v>219</v>
      </c>
      <c r="G13" s="723">
        <v>2.78</v>
      </c>
      <c r="H13" s="724">
        <v>7.14</v>
      </c>
      <c r="J13" s="400" t="s">
        <v>605</v>
      </c>
      <c r="K13" s="400">
        <v>12</v>
      </c>
      <c r="L13" s="604" t="s">
        <v>415</v>
      </c>
      <c r="M13" s="727" t="s">
        <v>358</v>
      </c>
    </row>
    <row r="14" spans="1:36">
      <c r="A14" s="726">
        <v>12</v>
      </c>
      <c r="B14" s="399" t="s">
        <v>865</v>
      </c>
      <c r="C14" s="635" t="s">
        <v>233</v>
      </c>
      <c r="D14" s="635" t="s">
        <v>579</v>
      </c>
      <c r="E14" s="635" t="s">
        <v>188</v>
      </c>
      <c r="F14" s="635" t="s">
        <v>232</v>
      </c>
      <c r="G14" s="723">
        <v>2.7</v>
      </c>
      <c r="H14" s="724">
        <v>7.69</v>
      </c>
      <c r="J14" s="400" t="s">
        <v>604</v>
      </c>
      <c r="K14" s="400">
        <v>13</v>
      </c>
      <c r="L14" s="604" t="s">
        <v>366</v>
      </c>
      <c r="M14" s="727" t="s">
        <v>354</v>
      </c>
    </row>
    <row r="15" spans="1:36">
      <c r="A15" s="726">
        <v>13</v>
      </c>
      <c r="B15" s="399" t="s">
        <v>569</v>
      </c>
      <c r="C15" s="635" t="s">
        <v>237</v>
      </c>
      <c r="E15" s="635" t="s">
        <v>624</v>
      </c>
      <c r="F15" s="635" t="s">
        <v>236</v>
      </c>
      <c r="G15" s="724">
        <v>2.62</v>
      </c>
      <c r="H15" s="724">
        <v>8.2899999999999991</v>
      </c>
      <c r="K15" s="400">
        <v>14</v>
      </c>
      <c r="L15" s="604" t="s">
        <v>366</v>
      </c>
      <c r="M15" s="727" t="s">
        <v>361</v>
      </c>
    </row>
    <row r="16" spans="1:36">
      <c r="A16" s="726">
        <v>14</v>
      </c>
      <c r="B16" s="400" t="s">
        <v>767</v>
      </c>
      <c r="C16" s="635" t="s">
        <v>239</v>
      </c>
      <c r="D16" s="275" t="s">
        <v>667</v>
      </c>
      <c r="E16" s="635" t="s">
        <v>190</v>
      </c>
      <c r="F16" s="635" t="s">
        <v>193</v>
      </c>
      <c r="G16" s="724">
        <v>2.5499999999999998</v>
      </c>
      <c r="H16" s="724">
        <v>8.9149999999999991</v>
      </c>
      <c r="J16" s="275" t="s">
        <v>678</v>
      </c>
      <c r="K16" s="400">
        <v>15</v>
      </c>
      <c r="L16" s="604" t="s">
        <v>388</v>
      </c>
      <c r="M16" s="727" t="s">
        <v>361</v>
      </c>
    </row>
    <row r="17" spans="1:21">
      <c r="A17" s="726">
        <v>15</v>
      </c>
      <c r="B17" s="400" t="s">
        <v>570</v>
      </c>
      <c r="C17" s="635" t="s">
        <v>242</v>
      </c>
      <c r="D17" s="635" t="s">
        <v>583</v>
      </c>
      <c r="E17" s="635" t="s">
        <v>191</v>
      </c>
      <c r="F17" s="635" t="s">
        <v>238</v>
      </c>
      <c r="G17" s="724">
        <v>2.48</v>
      </c>
      <c r="H17" s="724">
        <v>9.5649999999999995</v>
      </c>
      <c r="J17" s="729">
        <v>1</v>
      </c>
      <c r="K17" s="400">
        <v>16</v>
      </c>
      <c r="L17" s="604" t="s">
        <v>353</v>
      </c>
      <c r="M17" s="727" t="s">
        <v>430</v>
      </c>
    </row>
    <row r="18" spans="1:21">
      <c r="A18" s="726">
        <v>16</v>
      </c>
      <c r="B18" s="400" t="s">
        <v>572</v>
      </c>
      <c r="C18" s="635" t="s">
        <v>245</v>
      </c>
      <c r="D18" s="635" t="s">
        <v>584</v>
      </c>
      <c r="E18" s="635" t="s">
        <v>192</v>
      </c>
      <c r="F18" s="635" t="s">
        <v>241</v>
      </c>
      <c r="G18" s="724">
        <v>2.41</v>
      </c>
      <c r="H18" s="724">
        <v>10.24</v>
      </c>
      <c r="J18" s="729">
        <v>1.5</v>
      </c>
      <c r="K18" s="400">
        <v>17</v>
      </c>
      <c r="L18" s="604" t="s">
        <v>456</v>
      </c>
      <c r="M18" s="727" t="s">
        <v>365</v>
      </c>
    </row>
    <row r="19" spans="1:21">
      <c r="A19" s="726">
        <v>17</v>
      </c>
      <c r="B19" s="400" t="s">
        <v>571</v>
      </c>
      <c r="C19" s="635" t="s">
        <v>696</v>
      </c>
      <c r="D19" s="635" t="s">
        <v>585</v>
      </c>
      <c r="E19" s="635" t="s">
        <v>623</v>
      </c>
      <c r="F19" s="635" t="s">
        <v>244</v>
      </c>
      <c r="G19" s="724">
        <v>2.35</v>
      </c>
      <c r="H19" s="724">
        <v>10.94</v>
      </c>
      <c r="J19" s="729">
        <v>1.6</v>
      </c>
      <c r="K19" s="400">
        <v>18</v>
      </c>
      <c r="L19" s="604" t="s">
        <v>367</v>
      </c>
      <c r="M19" s="727" t="s">
        <v>352</v>
      </c>
    </row>
    <row r="20" spans="1:21">
      <c r="A20" s="726">
        <v>18</v>
      </c>
      <c r="B20" s="400" t="s">
        <v>574</v>
      </c>
      <c r="D20" s="635" t="s">
        <v>270</v>
      </c>
      <c r="E20" s="635" t="s">
        <v>194</v>
      </c>
      <c r="F20" s="635" t="s">
        <v>247</v>
      </c>
      <c r="G20" s="724">
        <v>2.29</v>
      </c>
      <c r="H20" s="724">
        <v>11.664999999999999</v>
      </c>
      <c r="J20" s="729">
        <v>1.8</v>
      </c>
      <c r="K20" s="400">
        <v>19</v>
      </c>
      <c r="L20" s="604" t="s">
        <v>363</v>
      </c>
      <c r="M20" s="730" t="s">
        <v>760</v>
      </c>
    </row>
    <row r="21" spans="1:21">
      <c r="A21" s="726">
        <v>19</v>
      </c>
      <c r="B21" s="400" t="s">
        <v>573</v>
      </c>
      <c r="C21" s="275" t="s">
        <v>666</v>
      </c>
      <c r="D21" s="635" t="s">
        <v>182</v>
      </c>
      <c r="E21" s="635" t="s">
        <v>195</v>
      </c>
      <c r="F21" s="635" t="s">
        <v>196</v>
      </c>
      <c r="G21" s="724">
        <v>2.23</v>
      </c>
      <c r="H21" s="724">
        <v>12.414999999999999</v>
      </c>
      <c r="J21" s="729">
        <v>2</v>
      </c>
      <c r="K21" s="400">
        <v>20</v>
      </c>
      <c r="L21" s="604" t="s">
        <v>435</v>
      </c>
      <c r="M21" s="727" t="s">
        <v>364</v>
      </c>
    </row>
    <row r="22" spans="1:21">
      <c r="A22" s="726">
        <v>20</v>
      </c>
      <c r="B22" s="400" t="s">
        <v>575</v>
      </c>
      <c r="C22" s="635" t="s">
        <v>610</v>
      </c>
      <c r="E22" s="635" t="s">
        <v>192</v>
      </c>
      <c r="F22" s="635" t="s">
        <v>249</v>
      </c>
      <c r="G22" s="724">
        <v>2.1800000000000002</v>
      </c>
      <c r="H22" s="724">
        <v>13.19</v>
      </c>
      <c r="J22" s="729">
        <v>2.1</v>
      </c>
      <c r="L22" s="604" t="s">
        <v>345</v>
      </c>
      <c r="M22" s="727" t="s">
        <v>347</v>
      </c>
      <c r="U22" s="39"/>
    </row>
    <row r="23" spans="1:21">
      <c r="A23" s="726">
        <v>21</v>
      </c>
      <c r="B23" s="399" t="s">
        <v>830</v>
      </c>
      <c r="C23" s="635" t="s">
        <v>580</v>
      </c>
      <c r="D23" s="275" t="s">
        <v>648</v>
      </c>
      <c r="E23" s="635" t="s">
        <v>626</v>
      </c>
      <c r="F23" s="635" t="s">
        <v>263</v>
      </c>
      <c r="G23" s="724">
        <v>2.13</v>
      </c>
      <c r="H23" s="724">
        <v>13.99</v>
      </c>
      <c r="J23" s="729">
        <v>2.2999999999999998</v>
      </c>
      <c r="L23" s="604" t="s">
        <v>438</v>
      </c>
      <c r="M23" s="727" t="s">
        <v>431</v>
      </c>
    </row>
    <row r="24" spans="1:21">
      <c r="A24" s="726">
        <v>22</v>
      </c>
      <c r="B24" s="400" t="s">
        <v>1039</v>
      </c>
      <c r="C24" s="635" t="s">
        <v>581</v>
      </c>
      <c r="D24" s="731" t="s">
        <v>121</v>
      </c>
      <c r="E24" s="635" t="s">
        <v>695</v>
      </c>
      <c r="F24" s="635" t="s">
        <v>266</v>
      </c>
      <c r="G24" s="724">
        <v>2.08</v>
      </c>
      <c r="H24" s="724">
        <v>14.815</v>
      </c>
      <c r="J24" s="729">
        <v>2.4</v>
      </c>
      <c r="L24" s="604" t="s">
        <v>362</v>
      </c>
      <c r="M24" s="727" t="s">
        <v>394</v>
      </c>
    </row>
    <row r="25" spans="1:21">
      <c r="A25" s="726">
        <v>23</v>
      </c>
      <c r="B25" s="400" t="s">
        <v>964</v>
      </c>
      <c r="C25" s="635" t="s">
        <v>582</v>
      </c>
      <c r="D25" s="731" t="s">
        <v>120</v>
      </c>
      <c r="E25" s="635" t="s">
        <v>1038</v>
      </c>
      <c r="F25" s="635" t="s">
        <v>269</v>
      </c>
      <c r="G25" s="724">
        <v>2.0299999999999998</v>
      </c>
      <c r="H25" s="724">
        <v>15.664999999999999</v>
      </c>
      <c r="J25" s="729">
        <v>2.5</v>
      </c>
      <c r="L25" s="604" t="s">
        <v>439</v>
      </c>
      <c r="M25" s="727" t="s">
        <v>382</v>
      </c>
    </row>
    <row r="26" spans="1:21">
      <c r="A26" s="726">
        <v>24</v>
      </c>
      <c r="B26" s="275" t="s">
        <v>659</v>
      </c>
      <c r="D26" s="731"/>
      <c r="E26" s="275" t="s">
        <v>645</v>
      </c>
      <c r="F26" s="635" t="s">
        <v>272</v>
      </c>
      <c r="G26" s="724">
        <v>1.98</v>
      </c>
      <c r="H26" s="724">
        <v>16.54</v>
      </c>
      <c r="J26" s="729">
        <v>2.6</v>
      </c>
      <c r="L26" s="604" t="s">
        <v>421</v>
      </c>
      <c r="M26" s="727" t="s">
        <v>380</v>
      </c>
    </row>
    <row r="27" spans="1:21">
      <c r="A27" s="726">
        <v>25</v>
      </c>
      <c r="B27" s="400" t="s">
        <v>119</v>
      </c>
      <c r="C27" s="275" t="s">
        <v>636</v>
      </c>
      <c r="D27" s="270" t="s">
        <v>118</v>
      </c>
      <c r="E27" s="743">
        <v>4.4999999999999998E-2</v>
      </c>
      <c r="F27" s="635" t="s">
        <v>197</v>
      </c>
      <c r="G27" s="724">
        <v>1.93</v>
      </c>
      <c r="H27" s="724">
        <v>17.440000000000001</v>
      </c>
      <c r="J27" s="732">
        <v>2.7</v>
      </c>
      <c r="L27" s="604" t="s">
        <v>413</v>
      </c>
      <c r="M27" s="727" t="s">
        <v>381</v>
      </c>
    </row>
    <row r="28" spans="1:21">
      <c r="A28" s="726">
        <v>26</v>
      </c>
      <c r="B28" s="400" t="s">
        <v>164</v>
      </c>
      <c r="C28" s="381">
        <v>0.3</v>
      </c>
      <c r="E28" s="743">
        <v>7.8E-2</v>
      </c>
      <c r="F28" s="635" t="s">
        <v>198</v>
      </c>
      <c r="J28" s="732">
        <v>2.9</v>
      </c>
      <c r="L28" s="604" t="s">
        <v>436</v>
      </c>
      <c r="M28" s="727" t="s">
        <v>383</v>
      </c>
    </row>
    <row r="29" spans="1:21">
      <c r="A29" s="726">
        <v>27</v>
      </c>
      <c r="B29" s="275" t="s">
        <v>652</v>
      </c>
      <c r="C29" s="381">
        <v>0.42</v>
      </c>
      <c r="D29" s="275" t="s">
        <v>657</v>
      </c>
      <c r="E29" s="743">
        <v>0.11</v>
      </c>
      <c r="F29" s="635" t="s">
        <v>199</v>
      </c>
      <c r="G29" s="275" t="s">
        <v>671</v>
      </c>
      <c r="H29" s="275" t="s">
        <v>672</v>
      </c>
      <c r="J29" s="732">
        <v>5</v>
      </c>
      <c r="L29" s="604" t="s">
        <v>449</v>
      </c>
      <c r="M29" s="727" t="s">
        <v>427</v>
      </c>
    </row>
    <row r="30" spans="1:21">
      <c r="A30" s="726">
        <v>28</v>
      </c>
      <c r="B30" s="400">
        <v>2</v>
      </c>
      <c r="C30" s="381">
        <v>0.45</v>
      </c>
      <c r="D30" s="271" t="s">
        <v>121</v>
      </c>
      <c r="E30" s="743">
        <v>0.17</v>
      </c>
      <c r="F30" s="635" t="s">
        <v>273</v>
      </c>
      <c r="G30" s="733">
        <v>1</v>
      </c>
      <c r="H30" s="400" t="s">
        <v>611</v>
      </c>
      <c r="J30" s="732">
        <v>5.3</v>
      </c>
      <c r="L30" s="604" t="s">
        <v>451</v>
      </c>
      <c r="M30" s="727" t="s">
        <v>426</v>
      </c>
    </row>
    <row r="31" spans="1:21">
      <c r="A31" s="726">
        <v>29</v>
      </c>
      <c r="B31" s="400">
        <v>3</v>
      </c>
      <c r="C31" s="381">
        <v>0.5</v>
      </c>
      <c r="D31" s="731" t="s">
        <v>630</v>
      </c>
      <c r="E31" s="743">
        <v>0.38</v>
      </c>
      <c r="F31" s="635" t="s">
        <v>274</v>
      </c>
      <c r="G31" s="733">
        <v>2</v>
      </c>
      <c r="H31" s="400" t="s">
        <v>612</v>
      </c>
      <c r="L31" s="604" t="s">
        <v>417</v>
      </c>
      <c r="M31" s="727" t="s">
        <v>452</v>
      </c>
    </row>
    <row r="32" spans="1:21">
      <c r="A32" s="726">
        <v>30</v>
      </c>
      <c r="C32" s="381">
        <v>0.52</v>
      </c>
      <c r="E32" s="743">
        <v>0.66100000000000003</v>
      </c>
      <c r="F32" s="635" t="s">
        <v>275</v>
      </c>
      <c r="G32" s="733">
        <v>3</v>
      </c>
      <c r="I32" s="275" t="s">
        <v>699</v>
      </c>
      <c r="L32" s="604" t="s">
        <v>387</v>
      </c>
      <c r="M32" s="730" t="s">
        <v>759</v>
      </c>
    </row>
    <row r="33" spans="1:17">
      <c r="B33" s="275" t="s">
        <v>635</v>
      </c>
      <c r="C33" s="381">
        <v>0.6</v>
      </c>
      <c r="D33" s="275" t="s">
        <v>656</v>
      </c>
      <c r="F33" s="635" t="s">
        <v>200</v>
      </c>
      <c r="G33" s="733">
        <v>4</v>
      </c>
      <c r="I33" s="400" t="s">
        <v>611</v>
      </c>
      <c r="J33" s="275" t="s">
        <v>697</v>
      </c>
      <c r="L33" s="604" t="s">
        <v>457</v>
      </c>
      <c r="M33" s="730" t="s">
        <v>758</v>
      </c>
    </row>
    <row r="34" spans="1:17">
      <c r="A34" s="275" t="s">
        <v>654</v>
      </c>
      <c r="B34" s="722">
        <v>500</v>
      </c>
      <c r="C34" s="381">
        <v>0.65</v>
      </c>
      <c r="D34" s="744">
        <v>1</v>
      </c>
      <c r="E34" s="275" t="s">
        <v>653</v>
      </c>
      <c r="G34" s="733">
        <v>5</v>
      </c>
      <c r="I34" s="400" t="s">
        <v>612</v>
      </c>
      <c r="J34" s="734"/>
      <c r="L34" s="604" t="s">
        <v>385</v>
      </c>
      <c r="M34" s="730" t="s">
        <v>757</v>
      </c>
    </row>
    <row r="35" spans="1:17">
      <c r="A35" s="742">
        <v>2</v>
      </c>
      <c r="B35" s="722">
        <v>1000</v>
      </c>
      <c r="C35" s="381">
        <v>0.68</v>
      </c>
      <c r="D35" s="742">
        <v>0.45</v>
      </c>
      <c r="E35" s="735" t="s">
        <v>295</v>
      </c>
      <c r="G35" s="733">
        <v>6</v>
      </c>
      <c r="I35" s="400" t="s">
        <v>698</v>
      </c>
      <c r="J35" s="381">
        <v>0.75</v>
      </c>
      <c r="L35" s="604" t="s">
        <v>384</v>
      </c>
      <c r="M35" s="727" t="s">
        <v>344</v>
      </c>
    </row>
    <row r="36" spans="1:17">
      <c r="A36" s="742">
        <v>3</v>
      </c>
      <c r="B36" s="722">
        <v>1250</v>
      </c>
      <c r="C36" s="381">
        <v>0.78</v>
      </c>
      <c r="E36" s="735" t="s">
        <v>68</v>
      </c>
      <c r="G36" s="733">
        <v>7</v>
      </c>
      <c r="I36" s="400" t="s">
        <v>871</v>
      </c>
      <c r="J36" s="734">
        <v>1</v>
      </c>
      <c r="L36" s="604" t="s">
        <v>420</v>
      </c>
      <c r="M36" s="727" t="s">
        <v>373</v>
      </c>
    </row>
    <row r="37" spans="1:17">
      <c r="A37" s="742">
        <v>4</v>
      </c>
      <c r="B37" s="722">
        <v>1500</v>
      </c>
      <c r="C37" s="381">
        <v>0.87</v>
      </c>
      <c r="D37" s="275" t="s">
        <v>637</v>
      </c>
      <c r="E37" s="735" t="s">
        <v>69</v>
      </c>
      <c r="F37" s="275" t="s">
        <v>658</v>
      </c>
      <c r="G37" s="733">
        <v>8</v>
      </c>
      <c r="L37" s="604" t="s">
        <v>357</v>
      </c>
      <c r="M37" s="727" t="s">
        <v>441</v>
      </c>
      <c r="Q37" s="165"/>
    </row>
    <row r="38" spans="1:17">
      <c r="A38" s="742">
        <v>5</v>
      </c>
      <c r="B38" s="722">
        <v>2000</v>
      </c>
      <c r="C38" s="381">
        <v>1</v>
      </c>
      <c r="D38" s="381">
        <v>0.33</v>
      </c>
      <c r="E38" s="735" t="s">
        <v>62</v>
      </c>
      <c r="F38" s="400" t="s">
        <v>1240</v>
      </c>
      <c r="G38" s="733">
        <v>9</v>
      </c>
      <c r="L38" s="604" t="s">
        <v>346</v>
      </c>
      <c r="M38" s="727" t="s">
        <v>359</v>
      </c>
      <c r="Q38" s="165"/>
    </row>
    <row r="39" spans="1:17">
      <c r="A39" s="742">
        <v>6</v>
      </c>
      <c r="B39" s="722">
        <v>2500</v>
      </c>
      <c r="C39" s="381">
        <v>1.2</v>
      </c>
      <c r="D39" s="381">
        <v>0.5</v>
      </c>
      <c r="F39" s="400" t="s">
        <v>594</v>
      </c>
      <c r="G39" s="733">
        <v>10</v>
      </c>
      <c r="J39" s="853" t="s">
        <v>1289</v>
      </c>
      <c r="L39" s="604" t="s">
        <v>444</v>
      </c>
      <c r="M39" s="727" t="s">
        <v>450</v>
      </c>
      <c r="P39" s="165"/>
      <c r="Q39" s="165"/>
    </row>
    <row r="40" spans="1:17">
      <c r="A40" s="742">
        <v>7</v>
      </c>
      <c r="C40" s="381">
        <v>1.6</v>
      </c>
      <c r="E40" s="275" t="s">
        <v>651</v>
      </c>
      <c r="F40" s="400" t="s">
        <v>593</v>
      </c>
      <c r="G40" s="733">
        <v>11</v>
      </c>
      <c r="J40" s="1" t="s">
        <v>1306</v>
      </c>
      <c r="L40" s="604" t="s">
        <v>440</v>
      </c>
      <c r="M40" s="727" t="s">
        <v>406</v>
      </c>
      <c r="P40" s="165"/>
      <c r="Q40" s="165"/>
    </row>
    <row r="41" spans="1:17">
      <c r="A41" s="742">
        <v>8</v>
      </c>
      <c r="B41" s="275" t="s">
        <v>647</v>
      </c>
      <c r="D41" s="275" t="s">
        <v>639</v>
      </c>
      <c r="E41" s="797" t="s">
        <v>1213</v>
      </c>
      <c r="F41" s="400" t="s">
        <v>330</v>
      </c>
      <c r="G41" s="733">
        <v>12</v>
      </c>
      <c r="L41" s="604" t="s">
        <v>443</v>
      </c>
      <c r="M41" s="727" t="s">
        <v>377</v>
      </c>
      <c r="P41" s="165"/>
      <c r="Q41" s="165"/>
    </row>
    <row r="42" spans="1:17">
      <c r="A42" s="742">
        <v>9</v>
      </c>
      <c r="B42" s="734">
        <v>2</v>
      </c>
      <c r="D42" s="734">
        <v>1.2</v>
      </c>
      <c r="E42" s="400">
        <v>5</v>
      </c>
      <c r="F42" s="836" t="s">
        <v>1242</v>
      </c>
      <c r="G42" s="733">
        <v>13</v>
      </c>
      <c r="J42" s="275" t="s">
        <v>961</v>
      </c>
      <c r="L42" s="604" t="s">
        <v>442</v>
      </c>
      <c r="M42" s="445"/>
      <c r="P42" s="165"/>
      <c r="Q42" s="165"/>
    </row>
    <row r="43" spans="1:17">
      <c r="B43" s="400">
        <v>2.5</v>
      </c>
      <c r="C43" s="275" t="s">
        <v>650</v>
      </c>
      <c r="D43" s="734">
        <v>1</v>
      </c>
      <c r="E43" s="400">
        <v>6</v>
      </c>
      <c r="G43" s="733">
        <v>14</v>
      </c>
      <c r="J43" s="445" t="s">
        <v>872</v>
      </c>
      <c r="L43" s="604" t="s">
        <v>360</v>
      </c>
      <c r="M43" s="445"/>
    </row>
    <row r="44" spans="1:17">
      <c r="B44" s="734">
        <v>3</v>
      </c>
      <c r="C44" s="734">
        <v>1</v>
      </c>
      <c r="D44" s="736">
        <v>1.6</v>
      </c>
      <c r="E44" s="400">
        <v>6.5</v>
      </c>
      <c r="G44" s="733">
        <v>15</v>
      </c>
      <c r="J44" s="445" t="s">
        <v>770</v>
      </c>
      <c r="L44" s="604" t="s">
        <v>407</v>
      </c>
      <c r="M44" s="445"/>
    </row>
    <row r="45" spans="1:17">
      <c r="C45" s="734">
        <v>2</v>
      </c>
      <c r="E45" s="400">
        <v>10</v>
      </c>
      <c r="G45" s="733">
        <v>16</v>
      </c>
      <c r="J45" s="445" t="s">
        <v>771</v>
      </c>
      <c r="L45" s="604" t="s">
        <v>397</v>
      </c>
      <c r="M45" s="445"/>
    </row>
    <row r="46" spans="1:17">
      <c r="C46" s="734">
        <v>2.5</v>
      </c>
      <c r="D46" s="737"/>
      <c r="E46" s="275" t="s">
        <v>966</v>
      </c>
      <c r="G46" s="733">
        <v>17</v>
      </c>
      <c r="L46" s="604" t="s">
        <v>422</v>
      </c>
      <c r="M46" s="445"/>
    </row>
    <row r="47" spans="1:17">
      <c r="B47" s="275" t="s">
        <v>780</v>
      </c>
      <c r="C47" s="734">
        <v>5</v>
      </c>
      <c r="D47" s="275" t="s">
        <v>965</v>
      </c>
      <c r="E47" s="738" t="s">
        <v>973</v>
      </c>
      <c r="G47" s="733">
        <v>18</v>
      </c>
      <c r="J47" s="739"/>
      <c r="M47" s="445"/>
    </row>
    <row r="48" spans="1:17">
      <c r="B48" s="445" t="s">
        <v>777</v>
      </c>
      <c r="D48" s="445" t="s">
        <v>967</v>
      </c>
      <c r="E48" s="739" t="s">
        <v>974</v>
      </c>
      <c r="G48" s="733">
        <v>19</v>
      </c>
      <c r="J48" s="275" t="s">
        <v>1159</v>
      </c>
    </row>
    <row r="49" spans="2:12">
      <c r="B49" s="445" t="s">
        <v>778</v>
      </c>
      <c r="C49" s="275" t="s">
        <v>638</v>
      </c>
      <c r="D49" s="445" t="s">
        <v>968</v>
      </c>
      <c r="E49" s="739" t="s">
        <v>1014</v>
      </c>
      <c r="G49" s="733">
        <v>20</v>
      </c>
      <c r="J49" s="445" t="s">
        <v>1160</v>
      </c>
      <c r="L49" s="275" t="s">
        <v>1226</v>
      </c>
    </row>
    <row r="50" spans="2:12">
      <c r="B50" s="445" t="s">
        <v>779</v>
      </c>
      <c r="C50" s="734">
        <v>1</v>
      </c>
      <c r="D50" s="445" t="s">
        <v>969</v>
      </c>
      <c r="E50" s="739" t="s">
        <v>975</v>
      </c>
      <c r="J50" s="445" t="s">
        <v>1158</v>
      </c>
      <c r="L50" s="836" t="s">
        <v>1227</v>
      </c>
    </row>
    <row r="51" spans="2:12">
      <c r="C51" s="734">
        <v>1.5</v>
      </c>
      <c r="D51" s="445" t="s">
        <v>970</v>
      </c>
      <c r="E51" s="739" t="s">
        <v>976</v>
      </c>
      <c r="J51" s="445" t="s">
        <v>1157</v>
      </c>
      <c r="L51" s="836" t="s">
        <v>1228</v>
      </c>
    </row>
    <row r="52" spans="2:12">
      <c r="B52" s="740" t="s">
        <v>1024</v>
      </c>
      <c r="D52" s="445" t="s">
        <v>971</v>
      </c>
      <c r="E52" s="739" t="s">
        <v>977</v>
      </c>
      <c r="L52" s="836" t="s">
        <v>1229</v>
      </c>
    </row>
    <row r="53" spans="2:12">
      <c r="B53" s="445" t="s">
        <v>1197</v>
      </c>
      <c r="D53" s="445" t="s">
        <v>1199</v>
      </c>
      <c r="E53" s="738" t="s">
        <v>978</v>
      </c>
      <c r="J53" s="275" t="s">
        <v>1187</v>
      </c>
      <c r="L53" s="836" t="s">
        <v>1230</v>
      </c>
    </row>
    <row r="54" spans="2:12">
      <c r="B54" s="445" t="s">
        <v>1194</v>
      </c>
      <c r="D54" s="445" t="s">
        <v>972</v>
      </c>
      <c r="E54" s="739" t="s">
        <v>979</v>
      </c>
      <c r="J54" s="737" t="s">
        <v>1190</v>
      </c>
      <c r="L54" s="836" t="s">
        <v>1231</v>
      </c>
    </row>
    <row r="55" spans="2:12">
      <c r="B55" s="445" t="s">
        <v>1195</v>
      </c>
      <c r="D55" s="445" t="s">
        <v>1013</v>
      </c>
      <c r="E55" s="739" t="s">
        <v>980</v>
      </c>
      <c r="J55" s="737" t="s">
        <v>1191</v>
      </c>
    </row>
    <row r="56" spans="2:12">
      <c r="B56" s="445" t="s">
        <v>1198</v>
      </c>
      <c r="D56" s="445" t="s">
        <v>1015</v>
      </c>
      <c r="E56" s="739" t="s">
        <v>981</v>
      </c>
      <c r="J56" s="737" t="s">
        <v>1188</v>
      </c>
      <c r="L56" s="275" t="s">
        <v>1233</v>
      </c>
    </row>
    <row r="57" spans="2:12">
      <c r="D57" s="445" t="s">
        <v>1200</v>
      </c>
      <c r="E57" s="739" t="s">
        <v>982</v>
      </c>
      <c r="J57" s="737" t="s">
        <v>1189</v>
      </c>
      <c r="L57" s="836" t="s">
        <v>1234</v>
      </c>
    </row>
    <row r="58" spans="2:12">
      <c r="E58" s="739" t="s">
        <v>983</v>
      </c>
      <c r="J58" s="836" t="s">
        <v>1193</v>
      </c>
      <c r="L58" s="836" t="s">
        <v>355</v>
      </c>
    </row>
    <row r="59" spans="2:12">
      <c r="B59" s="740" t="s">
        <v>1027</v>
      </c>
      <c r="E59" s="739" t="s">
        <v>984</v>
      </c>
      <c r="J59" s="737" t="s">
        <v>1192</v>
      </c>
      <c r="L59" s="836" t="s">
        <v>1235</v>
      </c>
    </row>
    <row r="60" spans="2:12">
      <c r="B60" s="445" t="s">
        <v>1196</v>
      </c>
      <c r="E60" s="739" t="s">
        <v>985</v>
      </c>
    </row>
    <row r="61" spans="2:12">
      <c r="B61" s="445" t="s">
        <v>1025</v>
      </c>
      <c r="E61" s="739" t="s">
        <v>986</v>
      </c>
      <c r="F61" s="853" t="s">
        <v>1268</v>
      </c>
      <c r="J61" s="275" t="s">
        <v>1259</v>
      </c>
      <c r="L61" s="275" t="s">
        <v>1239</v>
      </c>
    </row>
    <row r="62" spans="2:12">
      <c r="E62" s="739" t="s">
        <v>987</v>
      </c>
      <c r="F62" s="854" t="s">
        <v>1263</v>
      </c>
      <c r="J62" s="836" t="s">
        <v>1256</v>
      </c>
      <c r="L62" s="836" t="s">
        <v>1240</v>
      </c>
    </row>
    <row r="63" spans="2:12">
      <c r="E63" s="739" t="s">
        <v>988</v>
      </c>
      <c r="F63" s="854" t="s">
        <v>1264</v>
      </c>
      <c r="J63" s="836" t="s">
        <v>1257</v>
      </c>
      <c r="L63" s="836" t="s">
        <v>1241</v>
      </c>
    </row>
    <row r="64" spans="2:12">
      <c r="E64" s="739" t="s">
        <v>989</v>
      </c>
      <c r="F64" s="854" t="s">
        <v>1265</v>
      </c>
      <c r="J64" s="836" t="s">
        <v>1258</v>
      </c>
      <c r="L64" s="836" t="s">
        <v>593</v>
      </c>
    </row>
    <row r="65" spans="5:12">
      <c r="E65" s="739" t="s">
        <v>990</v>
      </c>
      <c r="F65" s="854" t="s">
        <v>1266</v>
      </c>
      <c r="L65" s="836" t="s">
        <v>594</v>
      </c>
    </row>
    <row r="66" spans="5:12">
      <c r="E66" s="739" t="s">
        <v>991</v>
      </c>
      <c r="F66" s="854" t="s">
        <v>1267</v>
      </c>
      <c r="J66" s="275" t="s">
        <v>1226</v>
      </c>
      <c r="L66" s="836" t="s">
        <v>1242</v>
      </c>
    </row>
    <row r="67" spans="5:12">
      <c r="E67" s="739" t="s">
        <v>992</v>
      </c>
      <c r="J67" s="836" t="s">
        <v>1230</v>
      </c>
    </row>
    <row r="68" spans="5:12">
      <c r="E68" s="739" t="s">
        <v>993</v>
      </c>
      <c r="J68" s="836" t="s">
        <v>1260</v>
      </c>
      <c r="L68" s="275" t="s">
        <v>1245</v>
      </c>
    </row>
    <row r="69" spans="5:12">
      <c r="E69" s="739" t="s">
        <v>994</v>
      </c>
      <c r="J69" s="836" t="s">
        <v>1228</v>
      </c>
      <c r="L69" s="836" t="s">
        <v>147</v>
      </c>
    </row>
    <row r="70" spans="5:12">
      <c r="E70" s="739" t="s">
        <v>995</v>
      </c>
      <c r="J70" s="836" t="s">
        <v>1261</v>
      </c>
      <c r="L70" s="836" t="s">
        <v>1246</v>
      </c>
    </row>
    <row r="71" spans="5:12">
      <c r="E71" s="739" t="s">
        <v>996</v>
      </c>
      <c r="J71" s="836" t="s">
        <v>1227</v>
      </c>
      <c r="L71" s="836" t="s">
        <v>1247</v>
      </c>
    </row>
    <row r="72" spans="5:12">
      <c r="E72" s="739" t="s">
        <v>997</v>
      </c>
    </row>
    <row r="73" spans="5:12">
      <c r="E73" s="739" t="s">
        <v>998</v>
      </c>
      <c r="J73" s="275" t="s">
        <v>1233</v>
      </c>
      <c r="L73" s="275" t="s">
        <v>1248</v>
      </c>
    </row>
    <row r="74" spans="5:12">
      <c r="E74" s="739" t="s">
        <v>999</v>
      </c>
      <c r="J74" s="836" t="s">
        <v>1234</v>
      </c>
      <c r="L74" s="836" t="s">
        <v>1249</v>
      </c>
    </row>
    <row r="75" spans="5:12">
      <c r="E75" s="739" t="s">
        <v>1000</v>
      </c>
      <c r="J75" s="836" t="s">
        <v>355</v>
      </c>
      <c r="L75" s="836" t="s">
        <v>1250</v>
      </c>
    </row>
    <row r="76" spans="5:12">
      <c r="E76" s="739" t="s">
        <v>1001</v>
      </c>
      <c r="J76" s="836" t="s">
        <v>356</v>
      </c>
    </row>
    <row r="77" spans="5:12">
      <c r="E77" s="739" t="s">
        <v>1002</v>
      </c>
    </row>
    <row r="78" spans="5:12">
      <c r="E78" s="739" t="s">
        <v>1003</v>
      </c>
    </row>
    <row r="79" spans="5:12">
      <c r="E79" s="739" t="s">
        <v>1004</v>
      </c>
    </row>
    <row r="80" spans="5:12">
      <c r="E80" s="739" t="s">
        <v>1005</v>
      </c>
    </row>
    <row r="81" spans="5:5">
      <c r="E81" s="739" t="s">
        <v>1006</v>
      </c>
    </row>
    <row r="82" spans="5:5">
      <c r="E82" s="739" t="s">
        <v>1007</v>
      </c>
    </row>
    <row r="83" spans="5:5">
      <c r="E83" s="739" t="s">
        <v>1008</v>
      </c>
    </row>
    <row r="84" spans="5:5">
      <c r="E84" s="739" t="s">
        <v>1009</v>
      </c>
    </row>
    <row r="85" spans="5:5">
      <c r="E85" s="739" t="s">
        <v>1010</v>
      </c>
    </row>
    <row r="86" spans="5:5">
      <c r="E86" s="739" t="s">
        <v>1011</v>
      </c>
    </row>
    <row r="87" spans="5:5">
      <c r="E87" s="739" t="s">
        <v>1012</v>
      </c>
    </row>
    <row r="95" spans="5:5">
      <c r="E95" s="110"/>
    </row>
  </sheetData>
  <sheetProtection sheet="1" objects="1" scenarios="1"/>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78" fitToWidth="3" orientation="portrait" horizontalDpi="1200" verticalDpi="120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0000"/>
  </sheetPr>
  <dimension ref="A1:AP176"/>
  <sheetViews>
    <sheetView view="pageBreakPreview" zoomScale="80" zoomScaleNormal="100" zoomScaleSheetLayoutView="80" workbookViewId="0">
      <selection activeCell="AC31" sqref="AC31"/>
    </sheetView>
  </sheetViews>
  <sheetFormatPr defaultColWidth="9.140625" defaultRowHeight="14.1" customHeight="1"/>
  <cols>
    <col min="1" max="2" width="5.85546875" style="38" customWidth="1"/>
    <col min="3" max="3" width="9.42578125" style="1" customWidth="1"/>
    <col min="4" max="4" width="7.7109375" style="1" customWidth="1"/>
    <col min="5" max="9" width="5.85546875" style="1" customWidth="1"/>
    <col min="10" max="10" width="7.42578125" style="1" customWidth="1"/>
    <col min="11" max="11" width="6.7109375" style="1" customWidth="1"/>
    <col min="12" max="15" width="5.85546875" style="1" customWidth="1"/>
    <col min="16" max="16" width="8" style="1" customWidth="1"/>
    <col min="17" max="17" width="6.5703125" style="1" customWidth="1"/>
    <col min="18" max="19" width="5.85546875" style="1" customWidth="1"/>
    <col min="20" max="20" width="6.42578125" style="1" customWidth="1"/>
    <col min="21" max="21" width="5.7109375" style="87" customWidth="1"/>
    <col min="22" max="22" width="7.7109375" style="87" customWidth="1"/>
    <col min="23" max="23" width="4" style="87" customWidth="1"/>
    <col min="24" max="24" width="6" style="87" customWidth="1"/>
    <col min="25" max="25" width="10.28515625" style="87" customWidth="1"/>
    <col min="26" max="26" width="4.28515625" style="87" customWidth="1"/>
    <col min="27" max="27" width="5.7109375" style="87" customWidth="1"/>
    <col min="28" max="28" width="19.7109375" style="87" customWidth="1"/>
    <col min="29" max="29" width="16.5703125" style="87" bestFit="1" customWidth="1"/>
    <col min="30" max="30" width="8.85546875" style="87" customWidth="1"/>
    <col min="31" max="31" width="23.28515625" style="87" customWidth="1"/>
    <col min="32" max="32" width="8.140625" style="87" customWidth="1"/>
    <col min="33" max="33" width="3.5703125" style="87" customWidth="1"/>
    <col min="34" max="34" width="7.7109375" style="87" customWidth="1"/>
    <col min="35" max="35" width="6.85546875" style="87" customWidth="1"/>
    <col min="36" max="36" width="3" style="87" customWidth="1"/>
    <col min="37" max="37" width="4" style="87" customWidth="1"/>
    <col min="38" max="38" width="3.7109375" style="87" customWidth="1"/>
    <col min="39" max="39" width="14.7109375" style="87" bestFit="1" customWidth="1"/>
    <col min="40" max="40" width="26.5703125" style="87" bestFit="1" customWidth="1"/>
    <col min="41" max="41" width="16.7109375" style="87" customWidth="1"/>
    <col min="42" max="42" width="4.28515625" style="87" customWidth="1"/>
    <col min="43" max="16384" width="9.140625" style="1"/>
  </cols>
  <sheetData>
    <row r="1" spans="1:40" ht="63.75" customHeight="1">
      <c r="A1" s="631"/>
      <c r="B1" s="595"/>
      <c r="C1" s="595"/>
      <c r="D1" s="595"/>
      <c r="E1" s="1162" t="s">
        <v>2</v>
      </c>
      <c r="F1" s="1162"/>
      <c r="G1" s="1162"/>
      <c r="H1" s="1162"/>
      <c r="I1" s="1162"/>
      <c r="J1" s="1162"/>
      <c r="K1" s="1162"/>
      <c r="L1" s="1162"/>
      <c r="M1" s="1162"/>
      <c r="N1" s="1162"/>
      <c r="O1" s="595"/>
      <c r="P1" s="595"/>
      <c r="Q1" s="595"/>
      <c r="R1" s="595"/>
      <c r="S1" s="595"/>
      <c r="T1" s="595"/>
    </row>
    <row r="2" spans="1:40" ht="6" customHeight="1">
      <c r="A2" s="611"/>
      <c r="B2" s="695"/>
      <c r="C2" s="695"/>
      <c r="D2" s="695"/>
      <c r="E2" s="696"/>
      <c r="F2" s="696"/>
      <c r="G2" s="696"/>
      <c r="H2" s="696"/>
      <c r="I2" s="696"/>
      <c r="J2" s="696"/>
      <c r="K2" s="696"/>
      <c r="L2" s="696"/>
      <c r="M2" s="696"/>
      <c r="N2" s="696"/>
      <c r="O2" s="695"/>
      <c r="P2" s="695"/>
      <c r="Q2" s="695"/>
      <c r="R2" s="695"/>
      <c r="S2" s="697"/>
      <c r="T2" s="698"/>
    </row>
    <row r="3" spans="1:40" ht="18" customHeight="1">
      <c r="A3" s="1165" t="s">
        <v>38</v>
      </c>
      <c r="B3" s="1166"/>
      <c r="C3" s="1166"/>
      <c r="D3" s="1167"/>
      <c r="E3" s="1170"/>
      <c r="F3" s="1171"/>
      <c r="G3" s="1171"/>
      <c r="H3" s="1171"/>
      <c r="I3" s="1171"/>
      <c r="J3" s="1171"/>
      <c r="K3" s="1171"/>
      <c r="L3" s="1171"/>
      <c r="M3" s="1171"/>
      <c r="N3" s="1172"/>
      <c r="O3" s="1178" t="s">
        <v>831</v>
      </c>
      <c r="P3" s="1179"/>
      <c r="Q3" s="1144"/>
      <c r="R3" s="1177"/>
      <c r="S3" s="1173" t="str">
        <f>'Drop-Down Lists'!J40</f>
        <v>v 04.20.2016</v>
      </c>
      <c r="T3" s="1174"/>
      <c r="Z3" s="1"/>
    </row>
    <row r="4" spans="1:40" ht="6" customHeight="1">
      <c r="A4" s="606"/>
      <c r="B4" s="41"/>
      <c r="C4" s="41"/>
      <c r="D4" s="41"/>
      <c r="E4" s="594"/>
      <c r="F4" s="594"/>
      <c r="G4" s="594"/>
      <c r="H4" s="594"/>
      <c r="I4" s="594"/>
      <c r="J4" s="594"/>
      <c r="K4" s="594"/>
      <c r="L4" s="594"/>
      <c r="M4" s="594"/>
      <c r="N4" s="594"/>
      <c r="O4" s="41"/>
      <c r="P4" s="41"/>
      <c r="Q4" s="41"/>
      <c r="R4" s="41"/>
      <c r="S4" s="41"/>
      <c r="T4" s="614"/>
    </row>
    <row r="5" spans="1:40" ht="18" customHeight="1">
      <c r="A5" s="1178" t="s">
        <v>673</v>
      </c>
      <c r="B5" s="1124"/>
      <c r="C5" s="1125"/>
      <c r="D5" s="1170"/>
      <c r="E5" s="1171"/>
      <c r="F5" s="1171"/>
      <c r="G5" s="1171"/>
      <c r="H5" s="1171"/>
      <c r="I5" s="1171"/>
      <c r="J5" s="1171"/>
      <c r="K5" s="1171"/>
      <c r="L5" s="1171"/>
      <c r="M5" s="1171"/>
      <c r="N5" s="1172"/>
      <c r="O5" s="1178" t="s">
        <v>880</v>
      </c>
      <c r="P5" s="1179"/>
      <c r="Q5" s="1183"/>
      <c r="R5" s="1184"/>
      <c r="S5" s="379"/>
      <c r="T5" s="614"/>
    </row>
    <row r="6" spans="1:40" ht="6" customHeight="1">
      <c r="A6" s="610"/>
      <c r="B6" s="595"/>
      <c r="C6" s="595"/>
      <c r="D6" s="595"/>
      <c r="E6" s="596"/>
      <c r="F6" s="596"/>
      <c r="G6" s="596"/>
      <c r="H6" s="596"/>
      <c r="I6" s="596"/>
      <c r="J6" s="596"/>
      <c r="K6" s="596"/>
      <c r="L6" s="596"/>
      <c r="M6" s="596"/>
      <c r="N6" s="596"/>
      <c r="O6" s="595"/>
      <c r="P6" s="595"/>
      <c r="Q6" s="595"/>
      <c r="R6" s="595"/>
      <c r="S6" s="595"/>
      <c r="T6" s="615"/>
    </row>
    <row r="7" spans="1:40" ht="18" customHeight="1">
      <c r="A7" s="616" t="s">
        <v>93</v>
      </c>
      <c r="B7" s="1163" t="s">
        <v>1236</v>
      </c>
      <c r="C7" s="1163"/>
      <c r="D7" s="1163"/>
      <c r="E7" s="1163"/>
      <c r="F7" s="1163"/>
      <c r="G7" s="1163"/>
      <c r="H7" s="1163"/>
      <c r="I7" s="1163"/>
      <c r="J7" s="1163"/>
      <c r="K7" s="1163"/>
      <c r="L7" s="1163"/>
      <c r="M7" s="1163"/>
      <c r="N7" s="1163"/>
      <c r="O7" s="1163"/>
      <c r="P7" s="1163"/>
      <c r="Q7" s="1163"/>
      <c r="R7" s="1163"/>
      <c r="S7" s="1163"/>
      <c r="T7" s="1164"/>
      <c r="AB7" s="1086" t="s">
        <v>566</v>
      </c>
    </row>
    <row r="8" spans="1:40" ht="6" customHeight="1">
      <c r="A8" s="617"/>
      <c r="B8" s="130"/>
      <c r="C8" s="50"/>
      <c r="D8" s="50"/>
      <c r="E8" s="50"/>
      <c r="F8" s="50"/>
      <c r="G8" s="50"/>
      <c r="H8" s="50"/>
      <c r="I8" s="50"/>
      <c r="J8" s="50"/>
      <c r="K8" s="258"/>
      <c r="L8" s="258"/>
      <c r="M8" s="258"/>
      <c r="N8" s="258"/>
      <c r="O8" s="258"/>
      <c r="P8" s="258"/>
      <c r="Q8" s="258"/>
      <c r="R8" s="258"/>
      <c r="S8" s="258"/>
      <c r="T8" s="618"/>
      <c r="AB8" s="1086"/>
    </row>
    <row r="9" spans="1:40" ht="18" customHeight="1">
      <c r="A9" s="619" t="s">
        <v>154</v>
      </c>
      <c r="B9" s="7" t="s">
        <v>316</v>
      </c>
      <c r="D9" s="1168"/>
      <c r="E9" s="1169"/>
      <c r="F9" s="3" t="s">
        <v>523</v>
      </c>
      <c r="K9" s="3" t="s">
        <v>1237</v>
      </c>
      <c r="P9" s="1175"/>
      <c r="Q9" s="1176"/>
      <c r="T9" s="620"/>
      <c r="V9" s="1"/>
      <c r="W9" s="1"/>
      <c r="X9" s="1"/>
      <c r="Y9" s="1"/>
      <c r="Z9" s="1"/>
      <c r="AA9" s="1"/>
      <c r="AB9" s="1086"/>
      <c r="AC9" s="406"/>
      <c r="AD9" s="406"/>
      <c r="AE9" s="406"/>
      <c r="AF9" s="406"/>
      <c r="AG9" s="406"/>
      <c r="AH9" s="1"/>
      <c r="AI9" s="1"/>
      <c r="AJ9" s="1"/>
      <c r="AK9" s="1"/>
      <c r="AL9" s="1"/>
      <c r="AM9" s="1"/>
      <c r="AN9" s="1"/>
    </row>
    <row r="10" spans="1:40" ht="6" customHeight="1">
      <c r="A10" s="619"/>
      <c r="B10" s="834"/>
      <c r="C10" s="834"/>
      <c r="D10" s="834"/>
      <c r="E10" s="834"/>
      <c r="F10" s="834"/>
      <c r="G10" s="834"/>
      <c r="H10" s="834"/>
      <c r="I10" s="834"/>
      <c r="J10" s="834"/>
      <c r="K10" s="834"/>
      <c r="L10" s="834"/>
      <c r="M10" s="834"/>
      <c r="N10" s="834"/>
      <c r="O10" s="834"/>
      <c r="P10" s="834"/>
      <c r="Q10" s="834"/>
      <c r="R10" s="834"/>
      <c r="S10" s="834"/>
      <c r="T10" s="33"/>
      <c r="X10" s="88"/>
      <c r="Y10" s="88"/>
      <c r="Z10" s="88"/>
      <c r="AA10" s="88"/>
      <c r="AB10" s="1086"/>
      <c r="AC10" s="406"/>
      <c r="AD10" s="406"/>
      <c r="AE10" s="406"/>
      <c r="AF10" s="406"/>
      <c r="AG10" s="406"/>
    </row>
    <row r="11" spans="1:40" ht="18" customHeight="1">
      <c r="A11" s="619"/>
      <c r="B11" s="1053" t="s">
        <v>1232</v>
      </c>
      <c r="C11" s="1053"/>
      <c r="D11" s="1137"/>
      <c r="E11" s="1185"/>
      <c r="F11" s="1186"/>
      <c r="G11" s="1187"/>
      <c r="H11" s="1188" t="s">
        <v>1225</v>
      </c>
      <c r="I11" s="1054"/>
      <c r="J11" s="1055"/>
      <c r="K11" s="1060"/>
      <c r="L11" s="1062"/>
      <c r="N11" s="1124" t="s">
        <v>1255</v>
      </c>
      <c r="O11" s="1125"/>
      <c r="P11" s="1060"/>
      <c r="Q11" s="1061"/>
      <c r="R11" s="1061"/>
      <c r="S11" s="1062"/>
      <c r="T11" s="33"/>
      <c r="X11" s="88"/>
      <c r="AB11" s="1086"/>
      <c r="AC11" s="406"/>
      <c r="AD11" s="406"/>
      <c r="AE11" s="406"/>
      <c r="AF11" s="406"/>
      <c r="AG11" s="406"/>
    </row>
    <row r="12" spans="1:40" ht="6" customHeight="1">
      <c r="A12" s="619"/>
      <c r="B12" s="835"/>
      <c r="C12" s="835"/>
      <c r="D12" s="835"/>
      <c r="E12" s="835"/>
      <c r="F12" s="835"/>
      <c r="G12" s="835"/>
      <c r="H12" s="835"/>
      <c r="I12" s="835"/>
      <c r="J12" s="835"/>
      <c r="K12" s="835"/>
      <c r="L12" s="835"/>
      <c r="M12" s="835"/>
      <c r="N12" s="835"/>
      <c r="O12" s="835"/>
      <c r="P12" s="835"/>
      <c r="Q12" s="835"/>
      <c r="R12" s="835"/>
      <c r="S12" s="835"/>
      <c r="T12" s="33"/>
      <c r="X12" s="88"/>
      <c r="Y12" s="88"/>
      <c r="Z12" s="88"/>
      <c r="AA12" s="88"/>
      <c r="AB12" s="1086"/>
      <c r="AC12" s="406"/>
      <c r="AD12" s="406"/>
      <c r="AE12" s="406"/>
      <c r="AF12" s="406"/>
      <c r="AG12" s="406"/>
    </row>
    <row r="13" spans="1:40" ht="18" customHeight="1">
      <c r="A13" s="619"/>
      <c r="B13" s="8" t="s">
        <v>1222</v>
      </c>
      <c r="J13" s="5"/>
      <c r="K13" s="1180"/>
      <c r="L13" s="1181"/>
      <c r="M13" s="3" t="s">
        <v>317</v>
      </c>
      <c r="N13" s="5"/>
      <c r="O13" s="5"/>
      <c r="P13" s="5"/>
      <c r="Q13" s="1180"/>
      <c r="R13" s="1181"/>
      <c r="S13" s="1" t="s">
        <v>317</v>
      </c>
      <c r="T13" s="33"/>
      <c r="X13" s="88"/>
      <c r="Y13" s="88"/>
      <c r="Z13" s="88"/>
      <c r="AB13" s="1086"/>
      <c r="AC13" s="406"/>
      <c r="AD13" s="406"/>
      <c r="AE13" s="406"/>
      <c r="AF13" s="406"/>
      <c r="AG13" s="406"/>
    </row>
    <row r="14" spans="1:40" ht="18" customHeight="1">
      <c r="A14" s="619" t="s">
        <v>527</v>
      </c>
      <c r="B14" s="7" t="s">
        <v>841</v>
      </c>
      <c r="J14" s="5"/>
      <c r="K14" s="5"/>
      <c r="L14" s="5"/>
      <c r="M14" s="5"/>
      <c r="N14" s="5"/>
      <c r="O14" s="5"/>
      <c r="P14" s="5"/>
      <c r="Q14" s="5"/>
      <c r="R14" s="5"/>
      <c r="S14" s="520"/>
      <c r="T14" s="620"/>
      <c r="V14" s="89"/>
      <c r="W14" s="89"/>
      <c r="X14" s="88"/>
      <c r="Y14" s="88"/>
      <c r="Z14" s="88"/>
      <c r="AA14" s="1"/>
      <c r="AB14" s="1086"/>
      <c r="AC14" s="1"/>
      <c r="AD14" s="1"/>
    </row>
    <row r="15" spans="1:40" ht="18" customHeight="1">
      <c r="A15" s="608"/>
      <c r="B15" s="1053" t="s">
        <v>1290</v>
      </c>
      <c r="C15" s="1053"/>
      <c r="D15" s="1053"/>
      <c r="E15" s="1053"/>
      <c r="F15" s="1053"/>
      <c r="G15" s="1053"/>
      <c r="H15" s="1053"/>
      <c r="I15" s="1053"/>
      <c r="K15" s="1189"/>
      <c r="L15" s="1190"/>
      <c r="M15" s="1182" t="s">
        <v>870</v>
      </c>
      <c r="N15" s="1142"/>
      <c r="O15" s="1060"/>
      <c r="P15" s="1062"/>
      <c r="Q15" s="3" t="s">
        <v>869</v>
      </c>
      <c r="S15" s="520"/>
      <c r="T15" s="904"/>
    </row>
    <row r="16" spans="1:40" ht="6" customHeight="1">
      <c r="A16" s="619"/>
      <c r="B16" s="3"/>
      <c r="M16" s="36"/>
      <c r="N16" s="36"/>
      <c r="O16" s="36"/>
      <c r="P16" s="36"/>
      <c r="Q16" s="36"/>
      <c r="R16" s="36"/>
      <c r="S16" s="36"/>
      <c r="T16" s="33"/>
      <c r="X16" s="88"/>
      <c r="Y16" s="88"/>
      <c r="Z16" s="88"/>
      <c r="AA16" s="88"/>
      <c r="AB16" s="88"/>
    </row>
    <row r="17" spans="1:42" ht="18" customHeight="1">
      <c r="A17" s="608"/>
      <c r="B17" s="3" t="s">
        <v>1292</v>
      </c>
      <c r="P17" s="36"/>
      <c r="Q17" s="36"/>
      <c r="R17" s="36"/>
      <c r="S17" s="36"/>
      <c r="T17" s="126"/>
    </row>
    <row r="18" spans="1:42" ht="6" customHeight="1">
      <c r="A18" s="619"/>
      <c r="B18" s="3"/>
      <c r="P18" s="36"/>
      <c r="Q18" s="36"/>
      <c r="R18" s="36"/>
      <c r="S18" s="36"/>
      <c r="T18" s="33"/>
      <c r="X18" s="88"/>
      <c r="Y18" s="88"/>
      <c r="Z18" s="88"/>
      <c r="AA18" s="88"/>
      <c r="AB18" s="88"/>
    </row>
    <row r="19" spans="1:42" ht="18" customHeight="1">
      <c r="A19" s="619"/>
      <c r="B19" s="1" t="s">
        <v>1291</v>
      </c>
      <c r="E19" s="1199"/>
      <c r="F19" s="1200"/>
      <c r="G19" s="1201"/>
      <c r="I19" s="1197" t="str">
        <f>IF(ISBLANK(E19), "",D9)</f>
        <v/>
      </c>
      <c r="J19" s="999"/>
      <c r="K19" s="1" t="s">
        <v>317</v>
      </c>
      <c r="L19" s="6" t="s">
        <v>106</v>
      </c>
      <c r="M19" s="998" t="str">
        <f>IF(E19="Gravity",3,IF(E19="Pressure",4,""))</f>
        <v/>
      </c>
      <c r="N19" s="999"/>
      <c r="O19" s="1" t="s">
        <v>107</v>
      </c>
      <c r="P19" s="998" t="str">
        <f>IF(ISBLANK(E19),"",(I19*M19))</f>
        <v/>
      </c>
      <c r="Q19" s="1198"/>
      <c r="R19" s="999"/>
      <c r="S19" s="1" t="s">
        <v>101</v>
      </c>
      <c r="T19" s="33"/>
      <c r="X19" s="88"/>
      <c r="Y19" s="88"/>
      <c r="Z19" s="88"/>
    </row>
    <row r="20" spans="1:42" ht="6" customHeight="1">
      <c r="A20" s="619"/>
      <c r="B20" s="3"/>
      <c r="P20" s="36"/>
      <c r="Q20" s="36"/>
      <c r="R20" s="36"/>
      <c r="S20" s="36"/>
      <c r="T20" s="33"/>
      <c r="X20" s="88"/>
      <c r="Y20" s="88"/>
      <c r="Z20" s="88"/>
      <c r="AA20" s="88"/>
      <c r="AB20" s="88"/>
    </row>
    <row r="21" spans="1:42" ht="18" customHeight="1">
      <c r="A21" s="619"/>
      <c r="B21" s="1053" t="s">
        <v>887</v>
      </c>
      <c r="C21" s="1053"/>
      <c r="D21" s="1053"/>
      <c r="E21" s="1053"/>
      <c r="F21" s="1053"/>
      <c r="G21" s="1053"/>
      <c r="H21" s="1137"/>
      <c r="I21" s="1148"/>
      <c r="J21" s="1149"/>
      <c r="K21" s="1182" t="s">
        <v>870</v>
      </c>
      <c r="L21" s="1142"/>
      <c r="M21" s="1060"/>
      <c r="N21" s="1062"/>
      <c r="O21" s="3" t="s">
        <v>869</v>
      </c>
      <c r="Q21" s="469"/>
      <c r="R21" s="36"/>
      <c r="T21" s="33"/>
      <c r="U21" s="1"/>
      <c r="V21" s="1"/>
      <c r="W21" s="1"/>
      <c r="X21" s="1"/>
      <c r="Y21" s="1"/>
      <c r="Z21" s="1"/>
      <c r="AA21" s="1"/>
      <c r="AB21" s="1"/>
      <c r="AC21" s="1"/>
      <c r="AD21" s="1"/>
      <c r="AE21" s="1"/>
      <c r="AF21" s="1"/>
      <c r="AG21" s="1"/>
    </row>
    <row r="22" spans="1:42" ht="6" customHeight="1">
      <c r="A22" s="619"/>
      <c r="B22" s="3"/>
      <c r="P22" s="36"/>
      <c r="Q22" s="36"/>
      <c r="R22" s="36"/>
      <c r="S22" s="36"/>
      <c r="T22" s="33"/>
      <c r="X22" s="88"/>
      <c r="Y22" s="88"/>
      <c r="Z22" s="88"/>
      <c r="AA22" s="88"/>
      <c r="AB22" s="88"/>
    </row>
    <row r="23" spans="1:42" ht="18" customHeight="1">
      <c r="A23" s="608"/>
      <c r="B23" s="1" t="s">
        <v>1223</v>
      </c>
      <c r="D23" s="3"/>
      <c r="E23" s="3"/>
      <c r="F23" s="3"/>
      <c r="G23" s="3"/>
      <c r="J23" s="1086" t="s">
        <v>1224</v>
      </c>
      <c r="K23" s="1086"/>
      <c r="L23" s="1086"/>
      <c r="M23" s="1086"/>
      <c r="N23" s="1086"/>
      <c r="O23" s="1060"/>
      <c r="P23" s="1061"/>
      <c r="Q23" s="1061"/>
      <c r="R23" s="1061"/>
      <c r="S23" s="1062"/>
      <c r="T23" s="126"/>
    </row>
    <row r="24" spans="1:42" ht="6" customHeight="1">
      <c r="A24" s="608"/>
      <c r="B24" s="8"/>
      <c r="R24" s="35"/>
      <c r="S24" s="35"/>
      <c r="T24" s="126"/>
    </row>
    <row r="25" spans="1:42" ht="18" customHeight="1">
      <c r="A25" s="619" t="s">
        <v>156</v>
      </c>
      <c r="B25" s="7" t="s">
        <v>874</v>
      </c>
      <c r="E25" s="875" t="s">
        <v>1293</v>
      </c>
      <c r="S25" s="35"/>
      <c r="T25" s="126"/>
      <c r="V25" s="1"/>
      <c r="W25" s="1"/>
      <c r="X25" s="1"/>
      <c r="Y25" s="1"/>
      <c r="Z25" s="1"/>
      <c r="AA25" s="1"/>
      <c r="AB25" s="1"/>
      <c r="AC25" s="1"/>
      <c r="AD25" s="1"/>
      <c r="AE25" s="1"/>
      <c r="AF25" s="1"/>
      <c r="AG25" s="1"/>
      <c r="AH25" s="1"/>
    </row>
    <row r="26" spans="1:42" ht="18" customHeight="1">
      <c r="A26" s="56"/>
      <c r="B26" s="1141" t="s">
        <v>1032</v>
      </c>
      <c r="C26" s="1141"/>
      <c r="D26" s="1141"/>
      <c r="E26" s="1141"/>
      <c r="F26" s="1141"/>
      <c r="G26" s="1205"/>
      <c r="H26" s="1177"/>
      <c r="I26" s="8" t="s">
        <v>870</v>
      </c>
      <c r="K26" s="1060"/>
      <c r="L26" s="1062"/>
      <c r="M26" s="3" t="s">
        <v>1034</v>
      </c>
      <c r="O26" s="3" t="s">
        <v>842</v>
      </c>
      <c r="R26" s="520"/>
      <c r="T26" s="33"/>
      <c r="AC26" s="1"/>
      <c r="AD26" s="1"/>
      <c r="AE26" s="1"/>
      <c r="AF26" s="1"/>
    </row>
    <row r="27" spans="1:42" ht="6" customHeight="1">
      <c r="A27" s="56"/>
      <c r="B27" s="249"/>
      <c r="I27" s="23"/>
      <c r="J27" s="23"/>
      <c r="K27" s="8"/>
      <c r="L27" s="22"/>
      <c r="M27" s="4"/>
      <c r="N27" s="23"/>
      <c r="O27" s="23"/>
      <c r="P27" s="129"/>
      <c r="Q27" s="23"/>
      <c r="R27" s="23"/>
      <c r="S27" s="4"/>
      <c r="T27" s="125"/>
      <c r="AC27" s="1"/>
      <c r="AD27" s="1"/>
      <c r="AE27" s="1"/>
      <c r="AF27" s="1"/>
    </row>
    <row r="28" spans="1:42" ht="18" customHeight="1">
      <c r="A28" s="56"/>
      <c r="B28" s="1070" t="s">
        <v>1033</v>
      </c>
      <c r="C28" s="1070"/>
      <c r="D28" s="1070"/>
      <c r="E28" s="1070"/>
      <c r="F28" s="1082"/>
      <c r="G28" s="1148"/>
      <c r="H28" s="1149"/>
      <c r="I28" s="8" t="s">
        <v>870</v>
      </c>
      <c r="K28" s="1060"/>
      <c r="L28" s="1062"/>
      <c r="M28" s="3" t="s">
        <v>1034</v>
      </c>
      <c r="O28" s="1144"/>
      <c r="P28" s="1145"/>
      <c r="Q28" s="1146"/>
      <c r="R28" s="1146"/>
      <c r="S28" s="1147"/>
      <c r="T28" s="125"/>
      <c r="AC28" s="1"/>
      <c r="AD28" s="1"/>
      <c r="AE28" s="1"/>
      <c r="AF28" s="1"/>
    </row>
    <row r="29" spans="1:42" ht="6" customHeight="1">
      <c r="A29" s="56"/>
      <c r="B29" s="249"/>
      <c r="C29" s="8"/>
      <c r="D29" s="8"/>
      <c r="E29" s="8"/>
      <c r="F29" s="8"/>
      <c r="I29" s="23"/>
      <c r="J29" s="23"/>
      <c r="K29" s="8"/>
      <c r="L29" s="22"/>
      <c r="M29" s="4"/>
      <c r="N29" s="23"/>
      <c r="O29" s="23"/>
      <c r="P29" s="129"/>
      <c r="Q29" s="23"/>
      <c r="R29" s="23"/>
      <c r="S29" s="4"/>
      <c r="T29" s="125"/>
      <c r="AC29" s="1"/>
      <c r="AD29" s="1"/>
      <c r="AE29" s="1"/>
      <c r="AF29" s="1"/>
    </row>
    <row r="30" spans="1:42" ht="18" customHeight="1">
      <c r="A30" s="140" t="s">
        <v>476</v>
      </c>
      <c r="B30" s="3" t="s">
        <v>1028</v>
      </c>
      <c r="C30" s="3"/>
      <c r="D30" s="3"/>
      <c r="E30" s="3"/>
      <c r="G30" s="961" t="str">
        <f>IF(ISBLANK('Pump-Basic (1) '!F28),"",MAX('Pump Tank (1) Demand Dose'!I6,'Pump-Tank (1) Time Dose'!I6))</f>
        <v/>
      </c>
      <c r="H30" s="999"/>
      <c r="I30" s="3" t="s">
        <v>101</v>
      </c>
      <c r="K30" s="3" t="s">
        <v>1030</v>
      </c>
      <c r="L30" s="3"/>
      <c r="M30" s="3"/>
      <c r="N30" s="3"/>
      <c r="Q30" s="1192" t="str">
        <f>IF(ISBLANK('Pump-Basic (2)'!F28),"",MAX('Pump Tank (2) Demand Dose'!I6,'Pump Tank (2) Time Dose'!I6))</f>
        <v/>
      </c>
      <c r="R30" s="1193"/>
      <c r="S30" s="1056" t="s">
        <v>101</v>
      </c>
      <c r="T30" s="1057"/>
    </row>
    <row r="31" spans="1:42" ht="6" customHeight="1">
      <c r="A31" s="56"/>
      <c r="B31" s="1"/>
      <c r="L31" s="10"/>
      <c r="M31" s="10"/>
      <c r="N31" s="10"/>
      <c r="O31" s="10"/>
      <c r="P31" s="10"/>
      <c r="Q31" s="10"/>
      <c r="R31" s="10"/>
      <c r="S31" s="10"/>
      <c r="T31" s="33"/>
    </row>
    <row r="32" spans="1:42" s="424" customFormat="1" ht="18" customHeight="1">
      <c r="A32" s="56"/>
      <c r="B32" s="3" t="s">
        <v>1029</v>
      </c>
      <c r="C32" s="3"/>
      <c r="D32" s="3"/>
      <c r="E32" s="3"/>
      <c r="F32" s="1"/>
      <c r="G32" s="961" t="str">
        <f>IF(ISBLANK('Pump-Basic (1) '!F28),"",MAX('Pump Tank (1) Demand Dose'!R6,'Pump-Tank (1) Time Dose'!R6))</f>
        <v/>
      </c>
      <c r="H32" s="999"/>
      <c r="I32" s="3" t="s">
        <v>101</v>
      </c>
      <c r="J32" s="1"/>
      <c r="K32" s="3" t="s">
        <v>1031</v>
      </c>
      <c r="L32" s="3"/>
      <c r="M32" s="3"/>
      <c r="N32" s="3"/>
      <c r="O32" s="1"/>
      <c r="P32" s="1"/>
      <c r="Q32" s="1192" t="str">
        <f>IF(ISBLANK('Pump-Basic (2)'!F28),"",MAX('Pump Tank (2) Demand Dose'!R6,'Pump Tank (2) Time Dose'!R6))</f>
        <v/>
      </c>
      <c r="R32" s="1193"/>
      <c r="S32" s="1056" t="s">
        <v>101</v>
      </c>
      <c r="T32" s="1057"/>
      <c r="U32" s="602"/>
      <c r="V32" s="602"/>
      <c r="W32" s="602"/>
      <c r="X32" s="602"/>
      <c r="Y32" s="602"/>
      <c r="Z32" s="602"/>
      <c r="AA32" s="602"/>
      <c r="AB32" s="602"/>
      <c r="AC32" s="602"/>
      <c r="AD32" s="602"/>
      <c r="AE32" s="602"/>
      <c r="AF32" s="602"/>
      <c r="AG32" s="602"/>
      <c r="AH32" s="602"/>
      <c r="AI32" s="602"/>
      <c r="AJ32" s="602"/>
      <c r="AK32" s="602"/>
      <c r="AL32" s="602"/>
      <c r="AM32" s="602"/>
      <c r="AN32" s="602"/>
      <c r="AO32" s="602"/>
      <c r="AP32" s="602"/>
    </row>
    <row r="33" spans="1:42" ht="6" customHeight="1">
      <c r="A33" s="56"/>
      <c r="B33" s="1"/>
      <c r="L33" s="10"/>
      <c r="M33" s="10"/>
      <c r="N33" s="10"/>
      <c r="O33" s="10"/>
      <c r="P33" s="10"/>
      <c r="Q33" s="10"/>
      <c r="R33" s="10"/>
      <c r="S33" s="10"/>
      <c r="T33" s="33"/>
    </row>
    <row r="34" spans="1:42" s="424" customFormat="1" ht="18" customHeight="1">
      <c r="A34" s="56"/>
      <c r="B34" s="22" t="s">
        <v>1185</v>
      </c>
      <c r="C34" s="967" t="str">
        <f>IF(ISBLANK(G30), " ", 'Pump-Basic (1) '!H52)</f>
        <v/>
      </c>
      <c r="D34" s="968"/>
      <c r="E34" s="3" t="s">
        <v>141</v>
      </c>
      <c r="F34" s="1058" t="s">
        <v>21</v>
      </c>
      <c r="G34" s="1058"/>
      <c r="H34" s="967" t="str">
        <f>IF(ISBLANK(G30), "", 'Pump-Basic (1) '!O52)</f>
        <v xml:space="preserve">  </v>
      </c>
      <c r="I34" s="968"/>
      <c r="J34" s="8" t="s">
        <v>97</v>
      </c>
      <c r="K34" s="22" t="s">
        <v>1186</v>
      </c>
      <c r="L34" s="967" t="str">
        <f>IF(ISBLANK(Q30), " ", 'Pump-Basic (2)'!H52)</f>
        <v/>
      </c>
      <c r="M34" s="968"/>
      <c r="N34" s="3" t="s">
        <v>141</v>
      </c>
      <c r="O34" s="1058" t="s">
        <v>21</v>
      </c>
      <c r="P34" s="1058"/>
      <c r="Q34" s="967" t="str">
        <f>IF(ISBLANK(Q30), "", 'Pump-Basic (2)'!O52)</f>
        <v xml:space="preserve">  </v>
      </c>
      <c r="R34" s="968"/>
      <c r="S34" s="8" t="s">
        <v>97</v>
      </c>
      <c r="T34" s="33"/>
      <c r="U34" s="602"/>
      <c r="V34" s="1086"/>
      <c r="W34" s="1086"/>
      <c r="X34" s="1086"/>
      <c r="Y34" s="1086"/>
      <c r="Z34" s="1086"/>
      <c r="AA34" s="1086"/>
      <c r="AB34" s="406"/>
      <c r="AC34" s="406"/>
      <c r="AD34" s="602"/>
      <c r="AE34" s="602"/>
      <c r="AF34" s="602"/>
      <c r="AG34" s="602"/>
      <c r="AH34" s="602"/>
      <c r="AI34" s="602"/>
      <c r="AJ34" s="602"/>
      <c r="AK34" s="602"/>
      <c r="AL34" s="602"/>
      <c r="AM34" s="602"/>
      <c r="AN34" s="602"/>
      <c r="AO34" s="602"/>
      <c r="AP34" s="602"/>
    </row>
    <row r="35" spans="1:42" ht="6" customHeight="1">
      <c r="A35" s="56"/>
      <c r="B35" s="1"/>
      <c r="L35" s="10"/>
      <c r="M35" s="10"/>
      <c r="N35" s="10"/>
      <c r="O35" s="10"/>
      <c r="P35" s="10"/>
      <c r="Q35" s="10"/>
      <c r="R35" s="10"/>
      <c r="S35" s="10"/>
      <c r="T35" s="33"/>
      <c r="V35" s="1086"/>
      <c r="W35" s="1086"/>
      <c r="X35" s="1086"/>
      <c r="Y35" s="1086"/>
      <c r="Z35" s="1086"/>
      <c r="AA35" s="1086"/>
      <c r="AB35" s="406"/>
      <c r="AC35" s="406"/>
    </row>
    <row r="36" spans="1:42" ht="17.45" customHeight="1">
      <c r="A36" s="56"/>
      <c r="B36" s="1054" t="s">
        <v>1035</v>
      </c>
      <c r="C36" s="1055"/>
      <c r="D36" s="900" t="str">
        <f>IF(ISBLANK('Pump-Basic (1) '!F28), "", 'Pump-Basic (1) '!F28)</f>
        <v/>
      </c>
      <c r="E36" s="8" t="s">
        <v>99</v>
      </c>
      <c r="F36" s="1" t="s">
        <v>1036</v>
      </c>
      <c r="H36" s="967" t="str">
        <f>IF(ISBLANK('Pump-Basic (1) '!F28),"",MAX('Pump Tank (1) Demand Dose'!K28,'Pump-Tank (1) Time Dose'!K28))</f>
        <v/>
      </c>
      <c r="I36" s="968"/>
      <c r="J36" s="1" t="s">
        <v>881</v>
      </c>
      <c r="K36" s="1054" t="s">
        <v>1035</v>
      </c>
      <c r="L36" s="1054"/>
      <c r="M36" s="1055"/>
      <c r="N36" s="1087" t="str">
        <f>IF(ISBLANK('Pump-Basic (2)'!F28), "", 'Pump-Basic (2)'!F28)</f>
        <v/>
      </c>
      <c r="O36" s="1088"/>
      <c r="P36" s="8" t="s">
        <v>1037</v>
      </c>
      <c r="R36" s="967" t="str">
        <f>IF(ISBLANK('Pump-Basic (2)'!F28),"",MAX('Pump Tank (2) Demand Dose'!K28,'Pump Tank (2) Time Dose'!K28))</f>
        <v/>
      </c>
      <c r="S36" s="968"/>
      <c r="T36" s="33" t="s">
        <v>881</v>
      </c>
      <c r="U36" s="1"/>
      <c r="V36" s="1086"/>
      <c r="W36" s="1086"/>
      <c r="X36" s="1086"/>
      <c r="Y36" s="1086"/>
      <c r="Z36" s="1086"/>
      <c r="AA36" s="1086"/>
      <c r="AB36" s="406"/>
      <c r="AC36" s="406"/>
    </row>
    <row r="37" spans="1:42" ht="6" customHeight="1">
      <c r="A37" s="56"/>
      <c r="B37" s="30"/>
      <c r="C37" s="30"/>
      <c r="D37" s="30"/>
      <c r="E37" s="30"/>
      <c r="F37" s="30"/>
      <c r="G37" s="30"/>
      <c r="H37" s="30"/>
      <c r="I37" s="30"/>
      <c r="J37" s="30"/>
      <c r="K37" s="30"/>
      <c r="L37" s="468"/>
      <c r="M37" s="468"/>
      <c r="N37" s="468"/>
      <c r="O37" s="468"/>
      <c r="P37" s="468"/>
      <c r="Q37" s="468"/>
      <c r="R37" s="468"/>
      <c r="S37" s="468"/>
      <c r="T37" s="31"/>
      <c r="V37" s="1086"/>
      <c r="W37" s="1086"/>
      <c r="X37" s="1086"/>
      <c r="Y37" s="1086"/>
      <c r="Z37" s="1086"/>
      <c r="AA37" s="1086"/>
    </row>
    <row r="38" spans="1:42" ht="18" customHeight="1">
      <c r="A38" s="621" t="s">
        <v>94</v>
      </c>
      <c r="B38" s="385" t="s">
        <v>1243</v>
      </c>
      <c r="C38" s="386"/>
      <c r="D38" s="386"/>
      <c r="E38" s="386"/>
      <c r="F38" s="386"/>
      <c r="G38" s="386"/>
      <c r="H38" s="386"/>
      <c r="I38" s="386"/>
      <c r="J38" s="386"/>
      <c r="K38" s="386"/>
      <c r="L38" s="386"/>
      <c r="M38" s="386"/>
      <c r="N38" s="386"/>
      <c r="O38" s="386"/>
      <c r="P38" s="386"/>
      <c r="Q38" s="386"/>
      <c r="R38" s="386"/>
      <c r="S38" s="386"/>
      <c r="T38" s="622"/>
      <c r="U38" s="87" t="s">
        <v>221</v>
      </c>
      <c r="V38" s="1086"/>
      <c r="W38" s="1086"/>
      <c r="X38" s="1086"/>
      <c r="Y38" s="1086"/>
      <c r="Z38" s="1086"/>
      <c r="AA38" s="1086"/>
      <c r="AB38" s="1"/>
      <c r="AC38" s="1"/>
    </row>
    <row r="39" spans="1:42" ht="6" customHeight="1">
      <c r="A39" s="606"/>
      <c r="B39" s="1108"/>
      <c r="C39" s="1108"/>
      <c r="D39" s="1108"/>
      <c r="E39" s="1108"/>
      <c r="F39" s="1108"/>
      <c r="G39" s="1108"/>
      <c r="I39" s="1108"/>
      <c r="J39" s="1108"/>
      <c r="K39" s="1108"/>
      <c r="L39" s="1108"/>
      <c r="M39" s="1108"/>
      <c r="N39" s="1108"/>
      <c r="O39" s="1108"/>
      <c r="P39" s="1108"/>
      <c r="Q39" s="1108"/>
      <c r="R39" s="1108"/>
      <c r="T39" s="33"/>
      <c r="V39" s="1"/>
      <c r="W39" s="1"/>
      <c r="X39" s="1"/>
      <c r="Y39" s="1"/>
      <c r="Z39" s="1"/>
      <c r="AA39" s="1"/>
      <c r="AB39" s="1"/>
      <c r="AC39" s="1"/>
    </row>
    <row r="40" spans="1:42" ht="18.75" customHeight="1">
      <c r="A40" s="606"/>
      <c r="B40" s="3" t="s">
        <v>1238</v>
      </c>
      <c r="C40" s="3"/>
      <c r="D40" s="123"/>
      <c r="E40" s="994"/>
      <c r="F40" s="1204"/>
      <c r="G40" s="1204"/>
      <c r="H40" s="995"/>
      <c r="J40" s="1124" t="s">
        <v>1244</v>
      </c>
      <c r="K40" s="1124"/>
      <c r="L40" s="1124"/>
      <c r="M40" s="1060"/>
      <c r="N40" s="1061"/>
      <c r="O40" s="1061"/>
      <c r="P40" s="1061"/>
      <c r="Q40" s="1061"/>
      <c r="R40" s="1062"/>
      <c r="T40" s="33"/>
      <c r="V40" s="864"/>
      <c r="W40" s="864"/>
      <c r="X40" s="865"/>
      <c r="Y40" s="867">
        <f>IF(E40="Trench",1,IF(E40="Bed",2,IF(E40="Mound",4,IF(E40="At-Grade",3,0))))</f>
        <v>0</v>
      </c>
      <c r="Z40" s="88"/>
      <c r="AA40" s="88"/>
      <c r="AB40" s="866"/>
      <c r="AC40" s="937">
        <f>IF(M40="Gravity Distribution",1,IF(M40="Pressure Distribution-Level",2,IF(M40="Pressure Distribution-Unlevel",3,0)))</f>
        <v>0</v>
      </c>
    </row>
    <row r="41" spans="1:42" ht="6" customHeight="1">
      <c r="A41" s="606"/>
      <c r="B41" s="3"/>
      <c r="D41" s="3"/>
      <c r="E41" s="3"/>
      <c r="L41" s="4"/>
      <c r="M41" s="4"/>
      <c r="N41" s="4"/>
      <c r="O41" s="4"/>
      <c r="P41" s="4"/>
      <c r="Q41" s="4"/>
      <c r="R41" s="4"/>
      <c r="S41" s="4"/>
      <c r="T41" s="33"/>
      <c r="V41" s="88"/>
      <c r="W41" s="88"/>
      <c r="X41" s="88"/>
      <c r="Y41" s="88"/>
      <c r="Z41" s="88"/>
      <c r="AA41" s="88"/>
      <c r="AB41" s="88"/>
    </row>
    <row r="42" spans="1:42" ht="19.899999999999999" customHeight="1">
      <c r="A42" s="606"/>
      <c r="B42" s="8" t="s">
        <v>1269</v>
      </c>
      <c r="D42" s="3"/>
      <c r="F42" s="1202"/>
      <c r="G42" s="1203"/>
      <c r="H42" s="3" t="s">
        <v>97</v>
      </c>
      <c r="I42" s="3"/>
      <c r="J42" s="3"/>
      <c r="K42" s="22" t="s">
        <v>1178</v>
      </c>
      <c r="L42" s="1060"/>
      <c r="M42" s="1061"/>
      <c r="N42" s="1061"/>
      <c r="O42" s="1062"/>
      <c r="T42" s="33"/>
    </row>
    <row r="43" spans="1:42" ht="6" customHeight="1">
      <c r="A43" s="606"/>
      <c r="B43" s="3"/>
      <c r="D43" s="3"/>
      <c r="E43" s="3"/>
      <c r="J43" s="444"/>
      <c r="L43" s="4"/>
      <c r="M43" s="22"/>
      <c r="N43" s="22"/>
      <c r="O43" s="22"/>
      <c r="P43" s="597"/>
      <c r="Q43" s="597"/>
      <c r="R43" s="516"/>
      <c r="S43" s="405"/>
      <c r="T43" s="33"/>
    </row>
    <row r="44" spans="1:42" ht="18" customHeight="1">
      <c r="A44" s="606"/>
      <c r="B44" s="3" t="s">
        <v>1262</v>
      </c>
      <c r="C44" s="852"/>
      <c r="D44" s="1105" t="s">
        <v>1263</v>
      </c>
      <c r="E44" s="1106"/>
      <c r="F44" s="1107"/>
      <c r="G44" s="852"/>
      <c r="H44" s="852"/>
      <c r="I44" s="1" t="s">
        <v>472</v>
      </c>
      <c r="J44" s="852"/>
      <c r="K44" s="852"/>
      <c r="T44" s="623"/>
    </row>
    <row r="45" spans="1:42" ht="4.5" customHeight="1">
      <c r="A45" s="606"/>
      <c r="B45" s="8"/>
      <c r="D45" s="3"/>
      <c r="E45" s="3"/>
      <c r="L45" s="4"/>
      <c r="R45" s="4"/>
      <c r="S45" s="4"/>
      <c r="T45" s="33"/>
      <c r="V45" s="1"/>
      <c r="W45" s="1"/>
      <c r="X45" s="1"/>
      <c r="Y45" s="1"/>
      <c r="Z45" s="1"/>
      <c r="AA45" s="1"/>
      <c r="AB45" s="1"/>
      <c r="AC45" s="1"/>
    </row>
    <row r="46" spans="1:42" ht="18" customHeight="1">
      <c r="A46" s="606"/>
      <c r="B46" s="1" t="s">
        <v>39</v>
      </c>
      <c r="D46" s="1060"/>
      <c r="E46" s="1061"/>
      <c r="F46" s="1061"/>
      <c r="G46" s="1061"/>
      <c r="H46" s="1061"/>
      <c r="I46" s="1061"/>
      <c r="J46" s="1061"/>
      <c r="K46" s="1062"/>
      <c r="M46" s="1060"/>
      <c r="N46" s="1061"/>
      <c r="O46" s="1061"/>
      <c r="P46" s="1061"/>
      <c r="Q46" s="1061"/>
      <c r="R46" s="1061"/>
      <c r="S46" s="1062"/>
      <c r="T46" s="33"/>
      <c r="V46" s="1"/>
      <c r="W46" s="1"/>
      <c r="X46" s="1"/>
      <c r="Y46" s="1"/>
      <c r="Z46" s="1"/>
      <c r="AA46" s="1"/>
      <c r="AB46" s="1"/>
      <c r="AC46" s="1"/>
    </row>
    <row r="47" spans="1:42" ht="6" customHeight="1">
      <c r="A47" s="610"/>
      <c r="B47" s="30"/>
      <c r="C47" s="30"/>
      <c r="D47" s="30"/>
      <c r="E47" s="30"/>
      <c r="F47" s="30"/>
      <c r="G47" s="30"/>
      <c r="H47" s="30"/>
      <c r="I47" s="30"/>
      <c r="J47" s="30"/>
      <c r="K47" s="30"/>
      <c r="L47" s="468"/>
      <c r="M47" s="468"/>
      <c r="N47" s="468"/>
      <c r="O47" s="468"/>
      <c r="P47" s="468"/>
      <c r="Q47" s="468"/>
      <c r="R47" s="468"/>
      <c r="S47" s="468"/>
      <c r="T47" s="31"/>
    </row>
    <row r="48" spans="1:42" ht="18" customHeight="1">
      <c r="A48" s="621" t="s">
        <v>148</v>
      </c>
      <c r="B48" s="385" t="s">
        <v>524</v>
      </c>
      <c r="C48" s="386"/>
      <c r="D48" s="386"/>
      <c r="E48" s="386"/>
      <c r="F48" s="386"/>
      <c r="G48" s="386"/>
      <c r="H48" s="386"/>
      <c r="I48" s="386"/>
      <c r="J48" s="386"/>
      <c r="K48" s="386"/>
      <c r="L48" s="386"/>
      <c r="M48" s="386"/>
      <c r="N48" s="386"/>
      <c r="O48" s="386"/>
      <c r="P48" s="386"/>
      <c r="Q48" s="386"/>
      <c r="R48" s="386"/>
      <c r="S48" s="386"/>
      <c r="T48" s="622"/>
    </row>
    <row r="49" spans="1:32" ht="6" customHeight="1">
      <c r="A49" s="611"/>
      <c r="B49" s="130"/>
      <c r="C49" s="50"/>
      <c r="D49" s="50"/>
      <c r="E49" s="50"/>
      <c r="F49" s="50"/>
      <c r="J49" s="50"/>
      <c r="K49" s="50"/>
      <c r="L49" s="50"/>
      <c r="M49" s="50"/>
      <c r="N49" s="50"/>
      <c r="O49" s="50"/>
      <c r="R49" s="50"/>
      <c r="S49" s="50"/>
      <c r="T49" s="80"/>
    </row>
    <row r="50" spans="1:32" ht="18" customHeight="1">
      <c r="A50" s="720" t="s">
        <v>154</v>
      </c>
      <c r="C50" s="577"/>
      <c r="E50" s="634" t="s">
        <v>1019</v>
      </c>
      <c r="F50" s="1073"/>
      <c r="G50" s="1074"/>
      <c r="H50" s="577" t="s">
        <v>99</v>
      </c>
      <c r="I50" s="598" t="str">
        <f>IF(ISBLANK(F50),"",F50/12)</f>
        <v/>
      </c>
      <c r="J50" s="1" t="s">
        <v>97</v>
      </c>
      <c r="K50" s="636" t="s">
        <v>540</v>
      </c>
      <c r="O50" s="634" t="s">
        <v>301</v>
      </c>
      <c r="P50" s="1073"/>
      <c r="Q50" s="1089"/>
      <c r="R50" s="1089"/>
      <c r="S50" s="1074"/>
      <c r="T50" s="33"/>
      <c r="U50" s="637">
        <v>0</v>
      </c>
    </row>
    <row r="51" spans="1:32" ht="6" customHeight="1">
      <c r="A51" s="721"/>
      <c r="B51" s="580"/>
      <c r="C51" s="577"/>
      <c r="D51" s="577"/>
      <c r="E51" s="577"/>
      <c r="F51" s="577"/>
      <c r="G51" s="576"/>
      <c r="H51" s="576"/>
      <c r="I51" s="577"/>
      <c r="J51" s="577"/>
      <c r="K51" s="636"/>
      <c r="M51" s="582"/>
      <c r="N51" s="582"/>
      <c r="O51" s="582"/>
      <c r="T51" s="699"/>
      <c r="U51" s="581"/>
    </row>
    <row r="52" spans="1:32" ht="18" customHeight="1">
      <c r="A52" s="721" t="s">
        <v>527</v>
      </c>
      <c r="C52" s="583"/>
      <c r="E52" s="634" t="s">
        <v>1270</v>
      </c>
      <c r="F52" s="1067"/>
      <c r="G52" s="1068"/>
      <c r="H52" s="1068"/>
      <c r="I52" s="1068"/>
      <c r="J52" s="1069"/>
      <c r="K52" s="636" t="s">
        <v>541</v>
      </c>
      <c r="N52" s="579"/>
      <c r="O52" s="634" t="s">
        <v>1181</v>
      </c>
      <c r="P52" s="1090"/>
      <c r="Q52" s="1091"/>
      <c r="R52" s="577" t="s">
        <v>91</v>
      </c>
      <c r="T52" s="699"/>
      <c r="U52" s="599"/>
    </row>
    <row r="53" spans="1:32" ht="6" customHeight="1">
      <c r="A53" s="608"/>
      <c r="K53" s="633"/>
      <c r="M53" s="576"/>
      <c r="N53" s="576"/>
      <c r="O53" s="576"/>
      <c r="R53" s="576"/>
      <c r="S53" s="579"/>
      <c r="T53" s="699"/>
      <c r="U53" s="581"/>
    </row>
    <row r="54" spans="1:32" ht="18" customHeight="1">
      <c r="A54" s="608" t="s">
        <v>156</v>
      </c>
      <c r="B54" s="1094" t="s">
        <v>1179</v>
      </c>
      <c r="C54" s="1094"/>
      <c r="D54" s="1094"/>
      <c r="E54" s="1094"/>
      <c r="F54" s="1109"/>
      <c r="G54" s="1110"/>
      <c r="H54" s="1110"/>
      <c r="I54" s="1110"/>
      <c r="J54" s="1111"/>
      <c r="K54" s="700" t="s">
        <v>542</v>
      </c>
      <c r="O54" s="633" t="s">
        <v>962</v>
      </c>
      <c r="P54" s="1067"/>
      <c r="Q54" s="1069"/>
      <c r="R54" s="578" t="s">
        <v>775</v>
      </c>
      <c r="T54" s="624"/>
    </row>
    <row r="55" spans="1:32" ht="6" customHeight="1">
      <c r="A55" s="608"/>
      <c r="K55" s="576"/>
      <c r="L55" s="576"/>
      <c r="M55" s="576"/>
      <c r="N55" s="576"/>
      <c r="O55" s="576"/>
      <c r="P55" s="576"/>
      <c r="Q55" s="599"/>
      <c r="R55" s="576"/>
      <c r="S55" s="576"/>
      <c r="T55" s="625"/>
      <c r="AE55" s="1"/>
      <c r="AF55" s="1"/>
    </row>
    <row r="56" spans="1:32" ht="18" customHeight="1">
      <c r="A56" s="721" t="s">
        <v>476</v>
      </c>
      <c r="C56" s="576"/>
      <c r="D56" s="576"/>
      <c r="E56" s="633" t="s">
        <v>1018</v>
      </c>
      <c r="F56" s="1073"/>
      <c r="G56" s="1074"/>
      <c r="H56" s="577" t="s">
        <v>99</v>
      </c>
      <c r="I56" s="598" t="str">
        <f>IF(ISBLANK(F56),"",F56/12)</f>
        <v/>
      </c>
      <c r="J56" s="20" t="s">
        <v>97</v>
      </c>
      <c r="K56" s="700" t="s">
        <v>598</v>
      </c>
      <c r="L56" s="1" t="s">
        <v>1303</v>
      </c>
      <c r="T56" s="33"/>
    </row>
    <row r="57" spans="1:32" ht="6" customHeight="1">
      <c r="A57" s="721"/>
      <c r="B57" s="580"/>
      <c r="C57" s="577"/>
      <c r="D57" s="577"/>
      <c r="E57" s="577"/>
      <c r="F57" s="577"/>
      <c r="G57" s="576"/>
      <c r="H57" s="576"/>
      <c r="I57" s="577"/>
      <c r="J57" s="577"/>
      <c r="K57" s="1195" t="s">
        <v>1307</v>
      </c>
      <c r="L57" s="1195"/>
      <c r="M57" s="1195"/>
      <c r="N57" s="1195"/>
      <c r="O57" s="1195"/>
      <c r="P57" s="1195"/>
      <c r="Q57" s="1195"/>
      <c r="R57" s="1195"/>
      <c r="S57" s="1195"/>
      <c r="T57" s="1196"/>
    </row>
    <row r="58" spans="1:32" ht="18" customHeight="1">
      <c r="A58" s="721" t="s">
        <v>477</v>
      </c>
      <c r="B58" s="1095" t="s">
        <v>963</v>
      </c>
      <c r="C58" s="1095"/>
      <c r="D58" s="1095"/>
      <c r="E58" s="1095"/>
      <c r="F58" s="1096"/>
      <c r="G58" s="1065" t="str">
        <f>IF(ISBLANK(F56),"", IF((F50-F56)&lt;0, "Mound", (F50-F56)))</f>
        <v/>
      </c>
      <c r="H58" s="1066"/>
      <c r="I58" s="593" t="s">
        <v>99</v>
      </c>
      <c r="K58" s="1195"/>
      <c r="L58" s="1195"/>
      <c r="M58" s="1195"/>
      <c r="N58" s="1195"/>
      <c r="O58" s="1195"/>
      <c r="P58" s="1195"/>
      <c r="Q58" s="1195"/>
      <c r="R58" s="1195"/>
      <c r="S58" s="1195"/>
      <c r="T58" s="1196"/>
      <c r="AE58" s="1"/>
      <c r="AF58" s="1"/>
    </row>
    <row r="59" spans="1:32" ht="6" customHeight="1">
      <c r="A59" s="140"/>
      <c r="C59" s="3"/>
      <c r="D59" s="3"/>
      <c r="E59" s="3"/>
      <c r="F59" s="3"/>
      <c r="I59" s="3"/>
      <c r="J59" s="3"/>
      <c r="K59" s="1195"/>
      <c r="L59" s="1195"/>
      <c r="M59" s="1195"/>
      <c r="N59" s="1195"/>
      <c r="O59" s="1195"/>
      <c r="P59" s="1195"/>
      <c r="Q59" s="1195"/>
      <c r="R59" s="1195"/>
      <c r="S59" s="1195"/>
      <c r="T59" s="1196"/>
    </row>
    <row r="60" spans="1:32" ht="18" customHeight="1">
      <c r="A60" s="721" t="s">
        <v>539</v>
      </c>
      <c r="B60" s="1"/>
      <c r="D60" s="577"/>
      <c r="E60" s="634" t="s">
        <v>1180</v>
      </c>
      <c r="F60" s="1103"/>
      <c r="G60" s="1104"/>
      <c r="H60" s="578" t="s">
        <v>526</v>
      </c>
      <c r="I60" s="3"/>
      <c r="J60" s="3"/>
      <c r="K60" s="1195"/>
      <c r="L60" s="1195"/>
      <c r="M60" s="1195"/>
      <c r="N60" s="1195"/>
      <c r="O60" s="1195"/>
      <c r="P60" s="1195"/>
      <c r="Q60" s="1195"/>
      <c r="R60" s="1195"/>
      <c r="S60" s="1195"/>
      <c r="T60" s="1196"/>
    </row>
    <row r="61" spans="1:32" ht="3" customHeight="1">
      <c r="A61" s="721"/>
      <c r="B61" s="1"/>
      <c r="D61" s="577"/>
      <c r="E61" s="634"/>
      <c r="F61" s="934"/>
      <c r="G61" s="934"/>
      <c r="H61" s="578"/>
      <c r="I61" s="3"/>
      <c r="J61" s="3"/>
      <c r="K61" s="891"/>
      <c r="L61" s="891"/>
      <c r="M61" s="891"/>
      <c r="N61" s="891"/>
      <c r="O61" s="891"/>
      <c r="P61" s="891"/>
      <c r="Q61" s="891"/>
      <c r="R61" s="891"/>
      <c r="S61" s="891"/>
      <c r="T61" s="892"/>
    </row>
    <row r="62" spans="1:32" ht="18" customHeight="1">
      <c r="A62" s="32"/>
      <c r="B62" s="48" t="s">
        <v>39</v>
      </c>
      <c r="C62" s="1097"/>
      <c r="D62" s="1098"/>
      <c r="E62" s="1098"/>
      <c r="F62" s="1098"/>
      <c r="G62" s="1098"/>
      <c r="H62" s="1098"/>
      <c r="I62" s="1098"/>
      <c r="J62" s="1098"/>
      <c r="K62" s="1098"/>
      <c r="L62" s="1098"/>
      <c r="M62" s="1098"/>
      <c r="N62" s="1098"/>
      <c r="O62" s="1098"/>
      <c r="P62" s="1098"/>
      <c r="Q62" s="1098"/>
      <c r="R62" s="1098"/>
      <c r="S62" s="1099"/>
      <c r="T62" s="620"/>
    </row>
    <row r="63" spans="1:32" ht="18" customHeight="1">
      <c r="A63" s="721"/>
      <c r="B63" s="1"/>
      <c r="C63" s="1100"/>
      <c r="D63" s="1101"/>
      <c r="E63" s="1101"/>
      <c r="F63" s="1101"/>
      <c r="G63" s="1101"/>
      <c r="H63" s="1101"/>
      <c r="I63" s="1101"/>
      <c r="J63" s="1101"/>
      <c r="K63" s="1101"/>
      <c r="L63" s="1101"/>
      <c r="M63" s="1101"/>
      <c r="N63" s="1101"/>
      <c r="O63" s="1101"/>
      <c r="P63" s="1101"/>
      <c r="Q63" s="1101"/>
      <c r="R63" s="1101"/>
      <c r="S63" s="1102"/>
      <c r="T63" s="620"/>
    </row>
    <row r="64" spans="1:32" ht="6" customHeight="1">
      <c r="A64" s="905"/>
      <c r="B64" s="631"/>
      <c r="C64" s="107"/>
      <c r="D64" s="107"/>
      <c r="E64" s="107"/>
      <c r="F64" s="107"/>
      <c r="G64" s="30"/>
      <c r="H64" s="30"/>
      <c r="I64" s="107"/>
      <c r="J64" s="107"/>
      <c r="K64" s="107"/>
      <c r="L64" s="30"/>
      <c r="M64" s="906"/>
      <c r="N64" s="906"/>
      <c r="O64" s="906"/>
      <c r="P64" s="906"/>
      <c r="Q64" s="906"/>
      <c r="R64" s="30"/>
      <c r="S64" s="223"/>
      <c r="T64" s="851"/>
    </row>
    <row r="65" spans="1:32" ht="18" customHeight="1">
      <c r="A65" s="616" t="s">
        <v>149</v>
      </c>
      <c r="B65" s="1092" t="s">
        <v>302</v>
      </c>
      <c r="C65" s="1092"/>
      <c r="D65" s="1092"/>
      <c r="E65" s="1092"/>
      <c r="F65" s="1092"/>
      <c r="G65" s="1092"/>
      <c r="H65" s="1092"/>
      <c r="I65" s="1092"/>
      <c r="J65" s="1092"/>
      <c r="K65" s="1092"/>
      <c r="L65" s="1092"/>
      <c r="M65" s="1092"/>
      <c r="N65" s="1092"/>
      <c r="O65" s="1092"/>
      <c r="P65" s="1092"/>
      <c r="Q65" s="1092"/>
      <c r="R65" s="1092"/>
      <c r="S65" s="1092"/>
      <c r="T65" s="1093"/>
      <c r="AC65" s="1"/>
      <c r="AD65" s="1"/>
      <c r="AE65" s="1"/>
      <c r="AF65" s="1"/>
    </row>
    <row r="66" spans="1:32" ht="6" customHeight="1">
      <c r="A66" s="626"/>
      <c r="B66" s="251"/>
      <c r="C66" s="251"/>
      <c r="D66" s="251"/>
      <c r="G66" s="251"/>
      <c r="H66" s="251"/>
      <c r="I66" s="251"/>
      <c r="J66" s="251"/>
      <c r="M66" s="251"/>
      <c r="N66" s="251"/>
      <c r="O66" s="251"/>
      <c r="T66" s="33"/>
      <c r="AC66" s="1"/>
      <c r="AD66" s="1"/>
      <c r="AE66" s="1"/>
      <c r="AF66" s="1"/>
    </row>
    <row r="67" spans="1:32" ht="18" customHeight="1">
      <c r="A67" s="1083" t="s">
        <v>24</v>
      </c>
      <c r="B67" s="1084"/>
      <c r="C67" s="1084"/>
      <c r="D67" s="1084"/>
      <c r="E67" s="1084"/>
      <c r="F67" s="1084"/>
      <c r="G67" s="1084"/>
      <c r="H67" s="1084"/>
      <c r="I67" s="1084"/>
      <c r="J67" s="1084"/>
      <c r="K67" s="1084"/>
      <c r="L67" s="1084"/>
      <c r="M67" s="1084"/>
      <c r="N67" s="1084"/>
      <c r="O67" s="1084"/>
      <c r="P67" s="1084"/>
      <c r="Q67" s="1084"/>
      <c r="R67" s="1084"/>
      <c r="S67" s="1084"/>
      <c r="T67" s="1085"/>
      <c r="AC67" s="1"/>
      <c r="AD67" s="1"/>
      <c r="AE67" s="1"/>
      <c r="AF67" s="1"/>
    </row>
    <row r="68" spans="1:32" ht="6" customHeight="1">
      <c r="A68" s="626"/>
      <c r="B68" s="251"/>
      <c r="C68" s="251"/>
      <c r="D68" s="251"/>
      <c r="G68" s="251"/>
      <c r="H68" s="251"/>
      <c r="I68" s="251"/>
      <c r="J68" s="251"/>
      <c r="M68" s="251"/>
      <c r="N68" s="251"/>
      <c r="O68" s="251"/>
      <c r="T68" s="33"/>
      <c r="AC68" s="1"/>
      <c r="AD68" s="1"/>
      <c r="AE68" s="1"/>
      <c r="AF68" s="1"/>
    </row>
    <row r="69" spans="1:32" ht="18" customHeight="1">
      <c r="A69" s="32"/>
      <c r="B69" s="1054" t="s">
        <v>776</v>
      </c>
      <c r="C69" s="1054"/>
      <c r="D69" s="1055"/>
      <c r="E69" s="998" t="str">
        <f>IF(Y40=1,MAX(Trench!G34,Trench!G73),"")</f>
        <v/>
      </c>
      <c r="F69" s="999"/>
      <c r="G69" s="8" t="s">
        <v>31</v>
      </c>
      <c r="H69" s="1070" t="s">
        <v>4</v>
      </c>
      <c r="I69" s="1070"/>
      <c r="J69" s="1070"/>
      <c r="K69" s="961" t="str">
        <f>IF(Y40=1,MAX(Trench!G32,Trench!G71),"")</f>
        <v/>
      </c>
      <c r="L69" s="962"/>
      <c r="M69" s="10" t="s">
        <v>99</v>
      </c>
      <c r="P69" s="1054" t="s">
        <v>303</v>
      </c>
      <c r="Q69" s="1055"/>
      <c r="R69" s="961" t="str">
        <f>IF(Y40=1,MAX(Trench!G36,Trench!G75),"")</f>
        <v/>
      </c>
      <c r="S69" s="962"/>
      <c r="T69" s="55" t="s">
        <v>97</v>
      </c>
      <c r="AC69" s="1"/>
      <c r="AD69" s="1"/>
      <c r="AE69" s="1"/>
      <c r="AF69" s="1"/>
    </row>
    <row r="70" spans="1:32" ht="6" customHeight="1">
      <c r="A70" s="32"/>
      <c r="B70" s="249"/>
      <c r="C70" s="8"/>
      <c r="D70" s="8"/>
      <c r="E70" s="8"/>
      <c r="F70" s="8"/>
      <c r="I70" s="23"/>
      <c r="J70" s="23"/>
      <c r="K70" s="8"/>
      <c r="L70" s="22"/>
      <c r="M70" s="4"/>
      <c r="T70" s="33"/>
      <c r="AC70" s="1"/>
      <c r="AD70" s="1"/>
      <c r="AE70" s="1"/>
      <c r="AF70" s="1"/>
    </row>
    <row r="71" spans="1:32" ht="18" customHeight="1">
      <c r="A71" s="32"/>
      <c r="B71" s="1070" t="s">
        <v>304</v>
      </c>
      <c r="C71" s="1070"/>
      <c r="D71" s="1082"/>
      <c r="E71" s="961" t="str">
        <f>IF(Y40=1, MAX(Trench!M39, Trench!M87),"")</f>
        <v/>
      </c>
      <c r="F71" s="962"/>
      <c r="G71" s="34" t="s">
        <v>97</v>
      </c>
      <c r="H71" s="1070" t="s">
        <v>305</v>
      </c>
      <c r="I71" s="1070"/>
      <c r="J71" s="1070"/>
      <c r="K71" s="961" t="str">
        <f>IF(Y40=1, MAX(Trench!M44,Trench!M92),"")</f>
        <v/>
      </c>
      <c r="L71" s="962"/>
      <c r="N71" s="1071" t="s">
        <v>882</v>
      </c>
      <c r="O71" s="1071"/>
      <c r="P71" s="1071"/>
      <c r="Q71" s="1072"/>
      <c r="R71" s="967" t="str">
        <f>IF(Y40=1,G58,"")</f>
        <v/>
      </c>
      <c r="S71" s="968"/>
      <c r="T71" s="627" t="s">
        <v>99</v>
      </c>
      <c r="AC71" s="1"/>
      <c r="AD71" s="1"/>
      <c r="AE71" s="1"/>
      <c r="AF71" s="1"/>
    </row>
    <row r="72" spans="1:32" ht="6" customHeight="1">
      <c r="A72" s="32"/>
      <c r="B72" s="249"/>
      <c r="C72" s="8"/>
      <c r="D72" s="8"/>
      <c r="E72" s="8"/>
      <c r="F72" s="8"/>
      <c r="I72" s="23"/>
      <c r="J72" s="23"/>
      <c r="T72" s="33"/>
      <c r="AC72" s="1"/>
      <c r="AD72" s="1"/>
      <c r="AE72" s="1"/>
      <c r="AF72" s="1"/>
    </row>
    <row r="73" spans="1:32" ht="18" customHeight="1">
      <c r="A73" s="32"/>
      <c r="C73" s="8"/>
      <c r="D73" s="513" t="s">
        <v>1042</v>
      </c>
      <c r="E73" s="967" t="str">
        <f>IF(Y40=1, Trench!P8,"")</f>
        <v/>
      </c>
      <c r="F73" s="968"/>
      <c r="G73" s="34" t="s">
        <v>97</v>
      </c>
      <c r="H73" s="1054" t="s">
        <v>1285</v>
      </c>
      <c r="I73" s="1054"/>
      <c r="J73" s="1055"/>
      <c r="K73" s="961" t="str">
        <f>IF(Y40=1, MAX(Trench!N42,Trench!N90),"")</f>
        <v/>
      </c>
      <c r="L73" s="962"/>
      <c r="M73" s="691" t="s">
        <v>97</v>
      </c>
      <c r="N73" s="249"/>
      <c r="O73" s="249"/>
      <c r="P73" s="249"/>
      <c r="Q73" s="513" t="s">
        <v>723</v>
      </c>
      <c r="R73" s="1075" t="str">
        <f>IF(Y40=1,IF(ISBLANK(Trench!P6),"", Trench!P6), "")</f>
        <v/>
      </c>
      <c r="S73" s="1076"/>
      <c r="T73" s="55" t="s">
        <v>99</v>
      </c>
      <c r="AC73" s="1"/>
      <c r="AD73" s="1"/>
      <c r="AE73" s="1"/>
      <c r="AF73" s="1"/>
    </row>
    <row r="74" spans="1:32" ht="6" customHeight="1">
      <c r="A74" s="29"/>
      <c r="B74" s="252"/>
      <c r="C74" s="79"/>
      <c r="D74" s="79"/>
      <c r="E74" s="79"/>
      <c r="F74" s="79"/>
      <c r="G74" s="30"/>
      <c r="H74" s="30"/>
      <c r="I74" s="253"/>
      <c r="J74" s="253"/>
      <c r="K74" s="79"/>
      <c r="L74" s="159"/>
      <c r="M74" s="51"/>
      <c r="N74" s="253"/>
      <c r="O74" s="253"/>
      <c r="P74" s="254"/>
      <c r="Q74" s="253"/>
      <c r="R74" s="253"/>
      <c r="S74" s="51"/>
      <c r="T74" s="605"/>
      <c r="AC74" s="1"/>
      <c r="AD74" s="1"/>
      <c r="AE74" s="1"/>
      <c r="AF74" s="1"/>
    </row>
    <row r="75" spans="1:32" ht="18" customHeight="1">
      <c r="A75" s="1083" t="s">
        <v>3</v>
      </c>
      <c r="B75" s="1084"/>
      <c r="C75" s="1084"/>
      <c r="D75" s="1084"/>
      <c r="E75" s="1084"/>
      <c r="F75" s="1084"/>
      <c r="G75" s="1084"/>
      <c r="H75" s="1084"/>
      <c r="I75" s="1084"/>
      <c r="J75" s="1084"/>
      <c r="K75" s="1084"/>
      <c r="L75" s="1084"/>
      <c r="M75" s="1084"/>
      <c r="N75" s="1084"/>
      <c r="O75" s="1084"/>
      <c r="P75" s="1084"/>
      <c r="Q75" s="1084"/>
      <c r="R75" s="1084"/>
      <c r="S75" s="1084"/>
      <c r="T75" s="1085"/>
      <c r="AC75" s="1"/>
      <c r="AD75" s="1"/>
      <c r="AE75" s="1"/>
      <c r="AF75" s="1"/>
    </row>
    <row r="76" spans="1:32" ht="6" customHeight="1">
      <c r="A76" s="236"/>
      <c r="B76" s="250"/>
      <c r="C76" s="250"/>
      <c r="D76" s="250"/>
      <c r="N76" s="250"/>
      <c r="T76" s="33"/>
      <c r="AC76" s="1"/>
      <c r="AD76" s="1"/>
      <c r="AE76" s="1"/>
      <c r="AF76" s="1"/>
    </row>
    <row r="77" spans="1:32" ht="18" customHeight="1">
      <c r="A77" s="32"/>
      <c r="B77" s="1054" t="s">
        <v>5</v>
      </c>
      <c r="C77" s="1054"/>
      <c r="D77" s="1055"/>
      <c r="E77" s="961" t="str">
        <f>IF(Y40=2,MAX('Bed '!G27,'Bed '!J25),"")</f>
        <v/>
      </c>
      <c r="F77" s="999"/>
      <c r="G77" s="8" t="s">
        <v>31</v>
      </c>
      <c r="H77" s="1070" t="s">
        <v>1218</v>
      </c>
      <c r="I77" s="1070"/>
      <c r="J77" s="1082"/>
      <c r="K77" s="967" t="str">
        <f>IF(Y40=2,MAX('Bed '!G35,'Bed '!L50),"")</f>
        <v/>
      </c>
      <c r="L77" s="968"/>
      <c r="M77" s="10" t="s">
        <v>99</v>
      </c>
      <c r="N77" s="1071" t="s">
        <v>883</v>
      </c>
      <c r="O77" s="1071"/>
      <c r="P77" s="1071"/>
      <c r="Q77" s="1072"/>
      <c r="R77" s="967" t="str">
        <f>IF(Y40=2,G58,"")</f>
        <v/>
      </c>
      <c r="S77" s="968"/>
      <c r="T77" s="55" t="s">
        <v>99</v>
      </c>
      <c r="V77" s="82"/>
      <c r="AC77" s="1"/>
      <c r="AD77" s="1"/>
      <c r="AE77" s="1"/>
      <c r="AF77" s="1"/>
    </row>
    <row r="78" spans="1:32" ht="6" customHeight="1">
      <c r="A78" s="32"/>
      <c r="B78" s="249"/>
      <c r="C78" s="8"/>
      <c r="D78" s="8"/>
      <c r="I78" s="23"/>
      <c r="J78" s="23"/>
      <c r="K78" s="8"/>
      <c r="O78" s="23"/>
      <c r="P78" s="129"/>
      <c r="Q78" s="23"/>
      <c r="R78" s="23"/>
      <c r="S78" s="4"/>
      <c r="T78" s="125"/>
      <c r="V78" s="82"/>
      <c r="AC78" s="1"/>
      <c r="AD78" s="1"/>
      <c r="AE78" s="1"/>
      <c r="AF78" s="1"/>
    </row>
    <row r="79" spans="1:32" ht="18" customHeight="1">
      <c r="A79" s="32"/>
      <c r="B79" s="1071" t="s">
        <v>307</v>
      </c>
      <c r="C79" s="1071"/>
      <c r="D79" s="1072"/>
      <c r="E79" s="998" t="str">
        <f>IF(Y40=2,'Bed '!G29,"")</f>
        <v/>
      </c>
      <c r="F79" s="999"/>
      <c r="G79" s="8" t="s">
        <v>97</v>
      </c>
      <c r="I79" s="1070" t="s">
        <v>306</v>
      </c>
      <c r="J79" s="1082"/>
      <c r="K79" s="967" t="str">
        <f>IF(Y40=2,MAX('Bed '!M31,'Bed '!M56),"")</f>
        <v/>
      </c>
      <c r="L79" s="968"/>
      <c r="M79" s="8" t="s">
        <v>97</v>
      </c>
      <c r="N79" s="1071" t="s">
        <v>722</v>
      </c>
      <c r="O79" s="1071"/>
      <c r="P79" s="1071"/>
      <c r="Q79" s="1072"/>
      <c r="R79" s="1075" t="str">
        <f>IF(Y40=2,IF(ISBLANK('Bed '!P6), "", 'Bed '!P6), "")</f>
        <v/>
      </c>
      <c r="S79" s="1076"/>
      <c r="T79" s="628" t="s">
        <v>99</v>
      </c>
      <c r="U79" s="1"/>
      <c r="V79" s="82"/>
      <c r="AC79" s="1"/>
      <c r="AD79" s="1"/>
      <c r="AE79" s="1"/>
      <c r="AF79" s="1"/>
    </row>
    <row r="80" spans="1:32" ht="6" customHeight="1">
      <c r="A80" s="29"/>
      <c r="B80" s="252"/>
      <c r="C80" s="79"/>
      <c r="D80" s="79"/>
      <c r="E80" s="79"/>
      <c r="F80" s="79"/>
      <c r="G80" s="30"/>
      <c r="H80" s="30"/>
      <c r="I80" s="253"/>
      <c r="J80" s="253"/>
      <c r="K80" s="79"/>
      <c r="L80" s="159"/>
      <c r="M80" s="51"/>
      <c r="N80" s="253"/>
      <c r="O80" s="253"/>
      <c r="P80" s="254"/>
      <c r="Q80" s="253"/>
      <c r="R80" s="253"/>
      <c r="S80" s="51"/>
      <c r="T80" s="605"/>
      <c r="V80" s="82"/>
      <c r="AC80" s="1"/>
      <c r="AD80" s="1"/>
      <c r="AE80" s="1"/>
      <c r="AF80" s="1"/>
    </row>
    <row r="81" spans="1:32" ht="15.75" customHeight="1">
      <c r="A81" s="1083" t="s">
        <v>23</v>
      </c>
      <c r="B81" s="1084"/>
      <c r="C81" s="1084"/>
      <c r="D81" s="1084"/>
      <c r="E81" s="1084"/>
      <c r="F81" s="1084"/>
      <c r="G81" s="1084"/>
      <c r="H81" s="1084"/>
      <c r="I81" s="1084"/>
      <c r="J81" s="1084"/>
      <c r="K81" s="1084"/>
      <c r="L81" s="1084"/>
      <c r="M81" s="1084"/>
      <c r="N81" s="1084"/>
      <c r="O81" s="1084"/>
      <c r="P81" s="1084"/>
      <c r="Q81" s="1084"/>
      <c r="R81" s="1084"/>
      <c r="S81" s="1084"/>
      <c r="T81" s="1085"/>
      <c r="V81" s="82"/>
      <c r="AC81" s="1"/>
      <c r="AD81" s="1"/>
      <c r="AE81" s="1"/>
      <c r="AF81" s="1"/>
    </row>
    <row r="82" spans="1:32" ht="6" customHeight="1">
      <c r="A82" s="67"/>
      <c r="B82" s="255"/>
      <c r="C82" s="57"/>
      <c r="D82" s="57"/>
      <c r="H82" s="50"/>
      <c r="I82" s="256"/>
      <c r="J82" s="256"/>
      <c r="K82" s="57"/>
      <c r="L82" s="257"/>
      <c r="M82" s="146"/>
      <c r="N82" s="256"/>
      <c r="O82" s="256"/>
      <c r="T82" s="33"/>
      <c r="V82" s="82"/>
      <c r="AC82" s="1"/>
      <c r="AD82" s="1"/>
      <c r="AE82" s="1"/>
      <c r="AF82" s="1"/>
    </row>
    <row r="83" spans="1:32" ht="18" customHeight="1">
      <c r="A83" s="32"/>
      <c r="B83" s="1054" t="s">
        <v>1203</v>
      </c>
      <c r="C83" s="1054"/>
      <c r="D83" s="1054"/>
      <c r="E83" s="1077" t="str">
        <f>IF(Y40=4,MAX('Mound &lt;1%'!L28,'Mound &lt;1%'!L30,'Mound &gt;1%'!L26,'Mound &gt;1%'!L28),"")</f>
        <v/>
      </c>
      <c r="F83" s="1078"/>
      <c r="G83" s="3" t="s">
        <v>31</v>
      </c>
      <c r="I83" s="1054" t="s">
        <v>306</v>
      </c>
      <c r="J83" s="1055"/>
      <c r="K83" s="1077" t="str">
        <f>IF(Y40=4,MAX('Mound &lt;1%'!J36,'Mound &gt;1%'!J33),"")</f>
        <v/>
      </c>
      <c r="L83" s="1078"/>
      <c r="M83" s="3" t="s">
        <v>97</v>
      </c>
      <c r="O83" s="1054" t="s">
        <v>307</v>
      </c>
      <c r="P83" s="1055"/>
      <c r="Q83" s="1077" t="str">
        <f>IF(Y40=4,MAX('Mound &lt;1%'!H32,'Mound &gt;1%'!H29),"")</f>
        <v/>
      </c>
      <c r="R83" s="1078"/>
      <c r="S83" s="3" t="s">
        <v>97</v>
      </c>
      <c r="T83" s="33"/>
      <c r="AC83" s="1"/>
      <c r="AD83" s="1"/>
      <c r="AE83" s="1"/>
      <c r="AF83" s="1"/>
    </row>
    <row r="84" spans="1:32" ht="6" customHeight="1">
      <c r="A84" s="32"/>
      <c r="B84" s="1"/>
      <c r="T84" s="125"/>
      <c r="V84" s="82"/>
      <c r="AC84" s="1"/>
      <c r="AD84" s="1"/>
      <c r="AE84" s="1"/>
      <c r="AF84" s="1"/>
    </row>
    <row r="85" spans="1:32" ht="18" customHeight="1">
      <c r="A85" s="32"/>
      <c r="B85" s="1054" t="s">
        <v>299</v>
      </c>
      <c r="C85" s="1054"/>
      <c r="D85" s="1055"/>
      <c r="E85" s="1077" t="str">
        <f>IF(Y40=4,MAX('Mound &lt;1%'!J41,'Mound &gt;1%'!J38),"")</f>
        <v/>
      </c>
      <c r="F85" s="1078"/>
      <c r="G85" s="3" t="s">
        <v>97</v>
      </c>
      <c r="H85" s="1054" t="s">
        <v>300</v>
      </c>
      <c r="I85" s="1054"/>
      <c r="J85" s="1055"/>
      <c r="K85" s="1077" t="str">
        <f>IF(Y40=4,MAX(MAX('Mound &lt;1%'!H75,'Mound &lt;1%'!P75),MAX('Mound &gt;1%'!H66,'Mound &gt;1%'!P66)), "")</f>
        <v/>
      </c>
      <c r="L85" s="1078"/>
      <c r="M85" s="3" t="s">
        <v>97</v>
      </c>
      <c r="N85" s="1054" t="s">
        <v>1044</v>
      </c>
      <c r="O85" s="1054"/>
      <c r="P85" s="1054"/>
      <c r="Q85" s="967" t="str">
        <f>IF(Y40&lt;4,"",IF(Y40=5,"",IF(Y40=6,"",IF(Y40=4,IF(S50&gt;1,"",'Mound &lt;1%'!I90)))))</f>
        <v/>
      </c>
      <c r="R85" s="968"/>
      <c r="S85" s="1" t="s">
        <v>97</v>
      </c>
      <c r="T85" s="33"/>
      <c r="AD85" s="1"/>
      <c r="AE85" s="1"/>
      <c r="AF85" s="1"/>
    </row>
    <row r="86" spans="1:32" ht="6" customHeight="1">
      <c r="A86" s="32"/>
      <c r="B86" s="1"/>
      <c r="T86" s="125"/>
      <c r="V86" s="82"/>
      <c r="AC86" s="1"/>
      <c r="AD86" s="1"/>
      <c r="AE86" s="1"/>
      <c r="AF86" s="1"/>
    </row>
    <row r="87" spans="1:32" ht="18" customHeight="1">
      <c r="A87" s="32"/>
      <c r="B87" s="1054" t="s">
        <v>18</v>
      </c>
      <c r="C87" s="1054"/>
      <c r="D87" s="1055"/>
      <c r="E87" s="1077" t="str">
        <f>IF(Y40&lt;4,"",IF(Y40=5,"",IF(Y40=6,"",IF(Y40=4,IF(F60&gt;1,'Mound &gt;1%'!N75,IF(F60&lt;=1,'Mound &lt;1%'!I81,""))))))</f>
        <v/>
      </c>
      <c r="F87" s="1078"/>
      <c r="G87" s="3" t="s">
        <v>1046</v>
      </c>
      <c r="H87" s="3"/>
      <c r="I87" s="3"/>
      <c r="J87" s="123"/>
      <c r="K87" s="1077" t="str">
        <f>IF(Y40&lt;4,"",IF(Y40=5,"",IF(Y40=6,"",IF(Y40=4,IF(F60&gt;1,'Mound &gt;1%'!K90,IF(F60&lt;=1,'Mound &lt;1%'!I81,""))))))</f>
        <v/>
      </c>
      <c r="L87" s="1078"/>
      <c r="M87" s="3" t="s">
        <v>97</v>
      </c>
      <c r="N87" s="1054" t="s">
        <v>15</v>
      </c>
      <c r="O87" s="1054"/>
      <c r="P87" s="1055"/>
      <c r="Q87" s="1077" t="str">
        <f>IF(Y40=4,MAX('Mound &lt;1%'!I81,'Mound &gt;1%'!N94),"")</f>
        <v/>
      </c>
      <c r="R87" s="1078"/>
      <c r="S87" s="3" t="s">
        <v>97</v>
      </c>
      <c r="T87" s="33"/>
      <c r="AC87" s="1"/>
      <c r="AD87" s="1"/>
      <c r="AE87" s="1"/>
      <c r="AF87" s="1"/>
    </row>
    <row r="88" spans="1:32" ht="6" customHeight="1">
      <c r="A88" s="32"/>
      <c r="B88" s="1"/>
      <c r="R88" s="28"/>
      <c r="S88" s="28"/>
      <c r="T88" s="125"/>
      <c r="V88" s="82"/>
      <c r="AC88" s="1"/>
      <c r="AD88" s="1"/>
      <c r="AE88" s="1"/>
      <c r="AF88" s="1"/>
    </row>
    <row r="89" spans="1:32" ht="18" customHeight="1">
      <c r="A89" s="32"/>
      <c r="B89" s="1054" t="s">
        <v>6</v>
      </c>
      <c r="C89" s="1054"/>
      <c r="D89" s="1055"/>
      <c r="E89" s="1077" t="str">
        <f>IF(Y40=4,MAX('Mound &lt;1%'!L96,'Mound &gt;1%'!P98),"")</f>
        <v/>
      </c>
      <c r="F89" s="1078"/>
      <c r="G89" s="3" t="s">
        <v>97</v>
      </c>
      <c r="H89" s="1054" t="s">
        <v>7</v>
      </c>
      <c r="I89" s="1054"/>
      <c r="J89" s="1055"/>
      <c r="K89" s="1077" t="str">
        <f>IF(Y40=4,MAX('Mound &lt;1%'!L93,'Mound &gt;1%'!P96),"")</f>
        <v/>
      </c>
      <c r="L89" s="1078"/>
      <c r="M89" s="3" t="s">
        <v>97</v>
      </c>
      <c r="P89" s="513" t="s">
        <v>1042</v>
      </c>
      <c r="Q89" s="1077" t="str">
        <f>IF(Y40=4,MAX('Mound &lt;1%'!K34,'Mound &gt;1%'!K31),"")</f>
        <v/>
      </c>
      <c r="R89" s="1078"/>
      <c r="S89" s="3" t="s">
        <v>1045</v>
      </c>
      <c r="T89" s="33"/>
      <c r="AC89" s="1"/>
      <c r="AD89" s="1"/>
      <c r="AE89" s="1"/>
      <c r="AF89" s="1"/>
    </row>
    <row r="90" spans="1:32" ht="6" customHeight="1">
      <c r="A90" s="32"/>
      <c r="B90" s="249"/>
      <c r="C90" s="8"/>
      <c r="D90" s="8"/>
      <c r="E90" s="8"/>
      <c r="F90" s="8"/>
      <c r="I90" s="23"/>
      <c r="J90" s="23"/>
      <c r="K90" s="8"/>
      <c r="L90" s="22"/>
      <c r="M90" s="4"/>
      <c r="N90" s="23"/>
      <c r="O90" s="23"/>
      <c r="P90" s="129"/>
      <c r="Q90" s="23"/>
      <c r="R90" s="23"/>
      <c r="S90" s="23"/>
      <c r="T90" s="125"/>
      <c r="V90" s="82"/>
      <c r="AC90" s="1"/>
      <c r="AD90" s="1"/>
      <c r="AE90" s="1"/>
      <c r="AF90" s="1"/>
    </row>
    <row r="91" spans="1:32" ht="18" customHeight="1">
      <c r="A91" s="1083" t="s">
        <v>22</v>
      </c>
      <c r="B91" s="1084"/>
      <c r="C91" s="1084"/>
      <c r="D91" s="1084"/>
      <c r="E91" s="1084"/>
      <c r="F91" s="1084"/>
      <c r="G91" s="1084"/>
      <c r="H91" s="1084"/>
      <c r="I91" s="1084"/>
      <c r="J91" s="1084"/>
      <c r="K91" s="1084"/>
      <c r="L91" s="1084"/>
      <c r="M91" s="1084"/>
      <c r="N91" s="1084"/>
      <c r="O91" s="1084"/>
      <c r="P91" s="1084"/>
      <c r="Q91" s="1084"/>
      <c r="R91" s="1084"/>
      <c r="S91" s="1084"/>
      <c r="T91" s="1085"/>
      <c r="V91" s="82"/>
      <c r="AC91" s="1"/>
      <c r="AD91" s="1"/>
      <c r="AE91" s="1"/>
      <c r="AF91" s="1"/>
    </row>
    <row r="92" spans="1:32" ht="6" customHeight="1">
      <c r="A92" s="67"/>
      <c r="B92" s="255"/>
      <c r="C92" s="57"/>
      <c r="D92" s="57"/>
      <c r="E92" s="57"/>
      <c r="F92" s="57"/>
      <c r="G92" s="50"/>
      <c r="H92" s="50"/>
      <c r="I92" s="256"/>
      <c r="J92" s="256"/>
      <c r="K92" s="50"/>
      <c r="L92" s="50"/>
      <c r="M92" s="50"/>
      <c r="N92" s="256"/>
      <c r="O92" s="256"/>
      <c r="P92" s="50"/>
      <c r="Q92" s="50"/>
      <c r="R92" s="50"/>
      <c r="S92" s="50"/>
      <c r="T92" s="80"/>
      <c r="V92" s="82"/>
      <c r="AC92" s="1"/>
      <c r="AD92" s="1"/>
      <c r="AE92" s="1"/>
      <c r="AF92" s="1"/>
    </row>
    <row r="93" spans="1:32" ht="18" customHeight="1">
      <c r="A93" s="32"/>
      <c r="B93" s="1071" t="s">
        <v>19</v>
      </c>
      <c r="C93" s="1071"/>
      <c r="D93" s="1071"/>
      <c r="E93" s="967" t="str">
        <f>IF(Y40=3,'At-Grade'!K8,"")</f>
        <v/>
      </c>
      <c r="F93" s="968"/>
      <c r="G93" s="3" t="s">
        <v>97</v>
      </c>
      <c r="H93" s="1079" t="s">
        <v>1043</v>
      </c>
      <c r="I93" s="1079"/>
      <c r="J93" s="1080"/>
      <c r="K93" s="961" t="str">
        <f>IF(Y40=3,'At-Grade'!K10,"")</f>
        <v/>
      </c>
      <c r="L93" s="962"/>
      <c r="M93" s="34" t="s">
        <v>97</v>
      </c>
      <c r="O93" s="1141" t="s">
        <v>1280</v>
      </c>
      <c r="P93" s="1141"/>
      <c r="Q93" s="1142"/>
      <c r="R93" s="967" t="str">
        <f>IF(Y40=3,'At-Grade'!J18,"")</f>
        <v/>
      </c>
      <c r="S93" s="968"/>
      <c r="T93" s="123" t="s">
        <v>97</v>
      </c>
      <c r="V93" s="82"/>
      <c r="AC93" s="1"/>
      <c r="AD93" s="1"/>
      <c r="AE93" s="1"/>
      <c r="AF93" s="1"/>
    </row>
    <row r="94" spans="1:32" ht="6" customHeight="1">
      <c r="A94" s="32"/>
      <c r="B94" s="513"/>
      <c r="C94" s="22"/>
      <c r="D94" s="22"/>
      <c r="E94" s="8"/>
      <c r="F94" s="8"/>
      <c r="H94" s="48"/>
      <c r="I94" s="512"/>
      <c r="J94" s="512"/>
      <c r="K94" s="8"/>
      <c r="L94" s="22"/>
      <c r="M94" s="4"/>
      <c r="N94" s="23"/>
      <c r="O94" s="23"/>
      <c r="P94" s="129"/>
      <c r="Q94" s="23"/>
      <c r="R94" s="23"/>
      <c r="S94" s="4"/>
      <c r="T94" s="125"/>
      <c r="V94" s="82"/>
      <c r="AC94" s="1"/>
      <c r="AD94" s="1"/>
      <c r="AE94" s="1"/>
      <c r="AF94" s="1"/>
    </row>
    <row r="95" spans="1:32" ht="18" customHeight="1">
      <c r="A95" s="32"/>
      <c r="C95" s="513"/>
      <c r="D95" s="513" t="s">
        <v>1042</v>
      </c>
      <c r="E95" s="961" t="str">
        <f>IF(Y40=3,'At-Grade'!M6,"")</f>
        <v/>
      </c>
      <c r="F95" s="999"/>
      <c r="G95" s="8" t="s">
        <v>1045</v>
      </c>
      <c r="H95" s="1054" t="s">
        <v>18</v>
      </c>
      <c r="I95" s="1054"/>
      <c r="J95" s="1054"/>
      <c r="K95" s="1131" t="str">
        <f>IF(Y40=3,'At-Grade'!K27,"")</f>
        <v/>
      </c>
      <c r="L95" s="1132"/>
      <c r="M95" s="3" t="s">
        <v>97</v>
      </c>
      <c r="N95" s="1054" t="s">
        <v>14</v>
      </c>
      <c r="O95" s="1054"/>
      <c r="P95" s="1054"/>
      <c r="Q95" s="1054"/>
      <c r="R95" s="1131" t="str">
        <f>IF(Y40=3,'At-Grade'!K40,"")</f>
        <v/>
      </c>
      <c r="S95" s="1132"/>
      <c r="T95" s="123" t="s">
        <v>97</v>
      </c>
      <c r="V95" s="82"/>
      <c r="AC95" s="1"/>
      <c r="AD95" s="1"/>
      <c r="AE95" s="1"/>
      <c r="AF95" s="1"/>
    </row>
    <row r="96" spans="1:32" ht="6" customHeight="1">
      <c r="A96" s="32"/>
      <c r="B96" s="513"/>
      <c r="C96" s="22"/>
      <c r="D96" s="22"/>
      <c r="E96" s="8"/>
      <c r="F96" s="8"/>
      <c r="H96" s="48"/>
      <c r="I96" s="512"/>
      <c r="J96" s="512"/>
      <c r="K96" s="8"/>
      <c r="L96" s="22"/>
      <c r="M96" s="4"/>
      <c r="N96" s="512"/>
      <c r="O96" s="48"/>
      <c r="P96" s="48"/>
      <c r="Q96" s="48"/>
      <c r="T96" s="33"/>
      <c r="V96" s="82"/>
      <c r="AC96" s="1"/>
      <c r="AD96" s="1"/>
      <c r="AE96" s="1"/>
      <c r="AF96" s="1"/>
    </row>
    <row r="97" spans="1:42" ht="18" customHeight="1">
      <c r="A97" s="32"/>
      <c r="B97" s="1054" t="s">
        <v>15</v>
      </c>
      <c r="C97" s="1054"/>
      <c r="D97" s="1054"/>
      <c r="E97" s="1077" t="str">
        <f>IF(Y40=3,'At-Grade'!K45,"")</f>
        <v/>
      </c>
      <c r="F97" s="1078"/>
      <c r="G97" s="3" t="s">
        <v>97</v>
      </c>
      <c r="H97" s="1054" t="s">
        <v>16</v>
      </c>
      <c r="I97" s="1054"/>
      <c r="J97" s="1054"/>
      <c r="K97" s="1077" t="str">
        <f>IF(Y40=3,'At-Grade'!L49,"")</f>
        <v/>
      </c>
      <c r="L97" s="1078"/>
      <c r="M97" s="3" t="s">
        <v>97</v>
      </c>
      <c r="N97" s="48"/>
      <c r="O97" s="1054" t="s">
        <v>17</v>
      </c>
      <c r="P97" s="1054"/>
      <c r="Q97" s="1054"/>
      <c r="R97" s="1077" t="str">
        <f>IF(Y40=3,'At-Grade'!I47,"")</f>
        <v/>
      </c>
      <c r="S97" s="1078"/>
      <c r="T97" s="123" t="s">
        <v>97</v>
      </c>
      <c r="V97" s="82"/>
      <c r="AC97" s="1"/>
      <c r="AD97" s="1"/>
      <c r="AE97" s="1"/>
      <c r="AF97" s="1"/>
    </row>
    <row r="98" spans="1:42" ht="6" customHeight="1">
      <c r="A98" s="29"/>
      <c r="B98" s="252"/>
      <c r="C98" s="79"/>
      <c r="D98" s="79"/>
      <c r="E98" s="79"/>
      <c r="F98" s="79"/>
      <c r="G98" s="30"/>
      <c r="H98" s="30"/>
      <c r="I98" s="253"/>
      <c r="J98" s="253"/>
      <c r="K98" s="79"/>
      <c r="L98" s="159"/>
      <c r="M98" s="51"/>
      <c r="N98" s="253"/>
      <c r="O98" s="253"/>
      <c r="P98" s="254"/>
      <c r="Q98" s="253"/>
      <c r="R98" s="253"/>
      <c r="S98" s="51"/>
      <c r="T98" s="605"/>
      <c r="V98" s="82"/>
      <c r="AC98" s="1"/>
      <c r="AD98" s="1"/>
      <c r="AE98" s="1"/>
      <c r="AF98" s="1"/>
    </row>
    <row r="99" spans="1:42" ht="18" customHeight="1">
      <c r="A99" s="1083" t="s">
        <v>1040</v>
      </c>
      <c r="B99" s="1084"/>
      <c r="C99" s="1084"/>
      <c r="D99" s="1084"/>
      <c r="E99" s="1084"/>
      <c r="F99" s="1084"/>
      <c r="G99" s="1084"/>
      <c r="H99" s="1084"/>
      <c r="I99" s="1084"/>
      <c r="J99" s="1084"/>
      <c r="K99" s="1084"/>
      <c r="L99" s="1084"/>
      <c r="M99" s="1084"/>
      <c r="N99" s="1084"/>
      <c r="O99" s="1084"/>
      <c r="P99" s="1084"/>
      <c r="Q99" s="1084"/>
      <c r="R99" s="1084"/>
      <c r="S99" s="1084"/>
      <c r="T99" s="1085"/>
      <c r="AC99" s="1"/>
      <c r="AD99" s="1"/>
      <c r="AE99" s="1"/>
      <c r="AF99" s="1"/>
    </row>
    <row r="100" spans="1:42" ht="6" customHeight="1">
      <c r="A100" s="67"/>
      <c r="B100" s="255"/>
      <c r="C100" s="57"/>
      <c r="D100" s="57"/>
      <c r="E100" s="57"/>
      <c r="F100" s="57"/>
      <c r="G100" s="50"/>
      <c r="H100" s="50"/>
      <c r="I100" s="256"/>
      <c r="J100" s="256"/>
      <c r="K100" s="57"/>
      <c r="L100" s="257"/>
      <c r="M100" s="146"/>
      <c r="N100" s="256"/>
      <c r="T100" s="33"/>
      <c r="AC100" s="1"/>
      <c r="AD100" s="1"/>
      <c r="AE100" s="1"/>
      <c r="AF100" s="1"/>
    </row>
    <row r="101" spans="1:42" ht="18" customHeight="1">
      <c r="A101" s="1143" t="s">
        <v>681</v>
      </c>
      <c r="B101" s="1071"/>
      <c r="C101" s="1071"/>
      <c r="D101" s="1072"/>
      <c r="E101" s="998" t="str">
        <f>IF(AC40=2,'Pres. Dist.'!J9,"")</f>
        <v/>
      </c>
      <c r="F101" s="999"/>
      <c r="G101" s="23"/>
      <c r="H101" s="1070" t="s">
        <v>20</v>
      </c>
      <c r="I101" s="1070"/>
      <c r="J101" s="1070"/>
      <c r="K101" s="998" t="str">
        <f>IF(AC40=2,'Pres. Dist.'!J11,"")</f>
        <v/>
      </c>
      <c r="L101" s="999"/>
      <c r="M101" s="3" t="s">
        <v>97</v>
      </c>
      <c r="O101" s="1071" t="s">
        <v>139</v>
      </c>
      <c r="P101" s="1071"/>
      <c r="Q101" s="1071"/>
      <c r="R101" s="998" t="str">
        <f>IF(AC40=2,'Pres. Dist.'!J13,"")</f>
        <v/>
      </c>
      <c r="S101" s="999"/>
      <c r="T101" s="123" t="s">
        <v>99</v>
      </c>
      <c r="AC101" s="1"/>
      <c r="AD101" s="1"/>
      <c r="AE101" s="1"/>
      <c r="AF101" s="1"/>
    </row>
    <row r="102" spans="1:42" ht="6" customHeight="1">
      <c r="A102" s="56"/>
      <c r="B102" s="513"/>
      <c r="C102" s="22"/>
      <c r="D102" s="22"/>
      <c r="E102" s="8"/>
      <c r="F102" s="8"/>
      <c r="H102" s="48"/>
      <c r="I102" s="48"/>
      <c r="J102" s="48"/>
      <c r="N102" s="23"/>
      <c r="O102" s="512"/>
      <c r="P102" s="515"/>
      <c r="Q102" s="512"/>
      <c r="R102" s="23"/>
      <c r="S102" s="4"/>
      <c r="T102" s="125"/>
      <c r="AC102" s="1"/>
      <c r="AD102" s="1"/>
      <c r="AE102" s="1"/>
      <c r="AF102" s="1"/>
    </row>
    <row r="103" spans="1:42" ht="18" customHeight="1">
      <c r="A103" s="56"/>
      <c r="B103" s="1124" t="s">
        <v>685</v>
      </c>
      <c r="C103" s="1124"/>
      <c r="D103" s="1125"/>
      <c r="E103" s="1087" t="str">
        <f>IF(AC40=2,'Pres. Dist.'!I40,"")</f>
        <v/>
      </c>
      <c r="F103" s="1088"/>
      <c r="G103" s="1" t="s">
        <v>99</v>
      </c>
      <c r="J103" s="48" t="s">
        <v>1165</v>
      </c>
      <c r="K103" s="1120" t="str">
        <f>IF(AC40=2,(MAX('Pump Tank (1) Demand Dose'!N23,'Non-Level Pres. Dist.'!K189)),"")</f>
        <v/>
      </c>
      <c r="L103" s="1121"/>
      <c r="M103" s="8" t="s">
        <v>881</v>
      </c>
      <c r="Q103" s="48" t="s">
        <v>1164</v>
      </c>
      <c r="R103" s="1120" t="str">
        <f>IF(AC40=2,D9*0.25,"")</f>
        <v/>
      </c>
      <c r="S103" s="1121"/>
      <c r="T103" s="55" t="s">
        <v>881</v>
      </c>
      <c r="W103" s="1"/>
      <c r="X103" s="1"/>
      <c r="Y103" s="1"/>
      <c r="Z103" s="1"/>
      <c r="AA103" s="1"/>
      <c r="AB103" s="1"/>
      <c r="AC103" s="1"/>
      <c r="AD103" s="1"/>
      <c r="AE103" s="1"/>
      <c r="AF103" s="1"/>
    </row>
    <row r="104" spans="1:42" ht="6" customHeight="1">
      <c r="A104" s="56"/>
      <c r="B104" s="22"/>
      <c r="C104" s="48"/>
      <c r="D104" s="48"/>
      <c r="H104" s="22"/>
      <c r="I104" s="48"/>
      <c r="J104" s="48"/>
      <c r="N104" s="23"/>
      <c r="P104" s="512"/>
      <c r="Q104" s="512"/>
      <c r="R104" s="43"/>
      <c r="S104" s="8"/>
      <c r="T104" s="55"/>
      <c r="AC104" s="1"/>
      <c r="AD104" s="1"/>
      <c r="AE104" s="1"/>
      <c r="AF104" s="1"/>
    </row>
    <row r="105" spans="1:42" ht="18" customHeight="1">
      <c r="A105" s="1083" t="s">
        <v>1041</v>
      </c>
      <c r="B105" s="1084"/>
      <c r="C105" s="1084"/>
      <c r="D105" s="1084"/>
      <c r="E105" s="1084"/>
      <c r="F105" s="1084"/>
      <c r="G105" s="1084"/>
      <c r="H105" s="1084"/>
      <c r="I105" s="1084"/>
      <c r="J105" s="1084"/>
      <c r="K105" s="1084"/>
      <c r="L105" s="1084"/>
      <c r="M105" s="1084"/>
      <c r="N105" s="1084"/>
      <c r="O105" s="1084"/>
      <c r="P105" s="1084"/>
      <c r="Q105" s="1084"/>
      <c r="R105" s="1084"/>
      <c r="S105" s="1084"/>
      <c r="T105" s="1085"/>
      <c r="AC105" s="1"/>
      <c r="AD105" s="1"/>
      <c r="AE105" s="1"/>
      <c r="AF105" s="1"/>
    </row>
    <row r="106" spans="1:42" ht="6" customHeight="1">
      <c r="A106" s="67"/>
      <c r="B106" s="255"/>
      <c r="C106" s="57"/>
      <c r="D106" s="57"/>
      <c r="E106" s="57"/>
      <c r="F106" s="57"/>
      <c r="G106" s="50"/>
      <c r="H106" s="50"/>
      <c r="I106" s="256"/>
      <c r="J106" s="256"/>
      <c r="K106" s="57"/>
      <c r="L106" s="257"/>
      <c r="M106" s="146"/>
      <c r="N106" s="256"/>
      <c r="T106" s="33"/>
      <c r="AC106" s="1"/>
      <c r="AD106" s="1"/>
      <c r="AE106" s="1"/>
      <c r="AF106" s="1"/>
    </row>
    <row r="107" spans="1:42" ht="18" customHeight="1">
      <c r="A107" s="1116"/>
      <c r="B107" s="1117"/>
      <c r="C107" s="1126" t="s">
        <v>1021</v>
      </c>
      <c r="D107" s="1116" t="s">
        <v>489</v>
      </c>
      <c r="E107" s="1117"/>
      <c r="F107" s="1116" t="s">
        <v>490</v>
      </c>
      <c r="G107" s="1117"/>
      <c r="H107" s="1116" t="s">
        <v>491</v>
      </c>
      <c r="I107" s="1117"/>
      <c r="J107" s="1116" t="s">
        <v>493</v>
      </c>
      <c r="K107" s="1117"/>
      <c r="L107" s="1116" t="s">
        <v>494</v>
      </c>
      <c r="M107" s="1117"/>
      <c r="N107" s="1116" t="s">
        <v>1017</v>
      </c>
      <c r="O107" s="1117"/>
      <c r="P107" s="1112"/>
      <c r="Q107" s="1113"/>
      <c r="R107" s="1113"/>
      <c r="S107" s="1113"/>
      <c r="T107" s="1114"/>
      <c r="AA107" s="1"/>
      <c r="AB107" s="1"/>
      <c r="AC107" s="1"/>
      <c r="AD107" s="1"/>
      <c r="AO107" s="1"/>
      <c r="AP107" s="1"/>
    </row>
    <row r="108" spans="1:42" ht="18.600000000000001" customHeight="1">
      <c r="A108" s="1118"/>
      <c r="B108" s="1119"/>
      <c r="C108" s="1127"/>
      <c r="D108" s="1118"/>
      <c r="E108" s="1119"/>
      <c r="F108" s="1118"/>
      <c r="G108" s="1119"/>
      <c r="H108" s="1118"/>
      <c r="I108" s="1119"/>
      <c r="J108" s="1118"/>
      <c r="K108" s="1119"/>
      <c r="L108" s="1118"/>
      <c r="M108" s="1119"/>
      <c r="N108" s="1118"/>
      <c r="O108" s="1119"/>
      <c r="T108" s="33"/>
      <c r="AA108" s="1"/>
      <c r="AB108" s="1"/>
      <c r="AC108" s="1"/>
      <c r="AD108" s="1"/>
      <c r="AO108" s="1"/>
      <c r="AP108" s="1"/>
    </row>
    <row r="109" spans="1:42" ht="18.600000000000001" customHeight="1">
      <c r="A109" s="600" t="s">
        <v>321</v>
      </c>
      <c r="B109" s="600"/>
      <c r="C109" s="858" t="str">
        <f>IF($AC$40=0,"",IF($AC$40=1,"",IF($AC$40=2,"",IF($AC$40=3, 'Non-Level Pres. Dist.'!F6))))</f>
        <v/>
      </c>
      <c r="D109" s="1122" t="str">
        <f>IF($AC$40=0,"",IF($AC$40=1,"",IF($AC$40=2,"",IF($AC$40=3, 'Non-Level Pres. Dist.'!D182))))</f>
        <v/>
      </c>
      <c r="E109" s="1123"/>
      <c r="F109" s="1115" t="str">
        <f>IF($AC$40=0,"",IF($AC$40=1,"",IF($AC$40=2,"",IF($AC$40=3, 'Non-Level Pres. Dist.'!F182))))</f>
        <v/>
      </c>
      <c r="G109" s="1115"/>
      <c r="H109" s="1115" t="str">
        <f>IF($AC$40=0,"",IF($AC$40=1,"",IF($AC$40=2,"",IF($AC$40=3, 'Non-Level Pres. Dist.'!H182))))</f>
        <v/>
      </c>
      <c r="I109" s="1115"/>
      <c r="J109" s="1115" t="str">
        <f>IF($AC$40=0,"",IF($AC$40=1,"",IF($AC$40=2,"",IF($AC$40=3, 'Non-Level Pres. Dist.'!L182))))</f>
        <v/>
      </c>
      <c r="K109" s="1115"/>
      <c r="L109" s="1133" t="str">
        <f>IF($AC$40=0,"",IF($AC$40=1,"",IF($AC$40=2,"",IF($AC$40=3, 'Non-Level Pres. Dist.'!N182))))</f>
        <v/>
      </c>
      <c r="M109" s="1133"/>
      <c r="N109" s="1133" t="str">
        <f>IF($AC$40=0,"",IF($AC$40=1,"",IF($AC$40=2,"",IF($AC$40=3, 'Non-Level Pres. Dist.'!O182))))</f>
        <v/>
      </c>
      <c r="O109" s="1133"/>
      <c r="P109" s="1138" t="s">
        <v>1163</v>
      </c>
      <c r="Q109" s="1139"/>
      <c r="R109" s="1139"/>
      <c r="S109" s="1139"/>
      <c r="T109" s="1140"/>
      <c r="AA109" s="1"/>
      <c r="AB109" s="1"/>
      <c r="AC109" s="1"/>
      <c r="AD109" s="1"/>
      <c r="AO109" s="1"/>
      <c r="AP109" s="1"/>
    </row>
    <row r="110" spans="1:42" ht="18.600000000000001" customHeight="1">
      <c r="A110" s="600" t="s">
        <v>322</v>
      </c>
      <c r="B110" s="600"/>
      <c r="C110" s="858" t="str">
        <f>IF($AC$40=0,"",IF($AC$40=1,"",IF($AC$40=2,"",IF($AC$40=3, 'Non-Level Pres. Dist.'!F8))))</f>
        <v/>
      </c>
      <c r="D110" s="1122" t="str">
        <f>IF($AC$40=0,"",IF($AC$40=1,"",IF($AC$40=2,"",IF($AC$40=3, 'Non-Level Pres. Dist.'!D183))))</f>
        <v/>
      </c>
      <c r="E110" s="1123"/>
      <c r="F110" s="1115" t="str">
        <f>IF($AC$40=0,"",IF($AC$40=1,"",IF($AC$40=2,"",IF($AC$40=3, 'Non-Level Pres. Dist.'!F183))))</f>
        <v/>
      </c>
      <c r="G110" s="1115"/>
      <c r="H110" s="1115" t="str">
        <f>IF($AC$40=0,"",IF($AC$40=1,"",IF($AC$40=2,"",IF($AC$40=3, 'Non-Level Pres. Dist.'!H183))))</f>
        <v/>
      </c>
      <c r="I110" s="1115"/>
      <c r="J110" s="1115" t="str">
        <f>IF($AC$40=0,"",IF($AC$40=1,"",IF($AC$40=2,"",IF($AC$40=3, 'Non-Level Pres. Dist.'!L183))))</f>
        <v/>
      </c>
      <c r="K110" s="1115"/>
      <c r="L110" s="1133" t="str">
        <f>IF($AC$40=0,"",IF($AC$40=1,"",IF($AC$40=2,"",IF($AC$40=3, 'Non-Level Pres. Dist.'!N183))))</f>
        <v/>
      </c>
      <c r="M110" s="1133"/>
      <c r="N110" s="1133" t="str">
        <f>IF($AC$40=0,"",IF($AC$40=1,"",IF($AC$40=2,"",IF($AC$40=3, 'Non-Level Pres. Dist.'!O183))))</f>
        <v/>
      </c>
      <c r="O110" s="1133"/>
      <c r="P110" s="424"/>
      <c r="Q110" s="1120" t="str">
        <f>IF(AC40=3,'Non-Level Pres. Dist.'!K189,"")</f>
        <v/>
      </c>
      <c r="R110" s="1121"/>
      <c r="S110" s="1136" t="s">
        <v>881</v>
      </c>
      <c r="T110" s="1137"/>
      <c r="Z110" s="1"/>
      <c r="AA110" s="1"/>
      <c r="AB110" s="1"/>
      <c r="AC110" s="1"/>
      <c r="AD110" s="1"/>
      <c r="AE110" s="1"/>
      <c r="AF110" s="1"/>
      <c r="AG110" s="1"/>
      <c r="AO110" s="1"/>
      <c r="AP110" s="1"/>
    </row>
    <row r="111" spans="1:42" ht="18.600000000000001" customHeight="1">
      <c r="A111" s="600" t="s">
        <v>323</v>
      </c>
      <c r="B111" s="600"/>
      <c r="C111" s="858" t="str">
        <f>IF($AC$40=0,"",IF($AC$40=1,"",IF($AC$40=2,"",IF($AC$40=3, 'Non-Level Pres. Dist.'!F10))))</f>
        <v/>
      </c>
      <c r="D111" s="1122" t="str">
        <f>IF($AC$40=0,"",IF($AC$40=1,"",IF($AC$40=2,"",IF($AC$40=3, 'Non-Level Pres. Dist.'!D184))))</f>
        <v/>
      </c>
      <c r="E111" s="1123"/>
      <c r="F111" s="1115" t="str">
        <f>IF($AC$40=0,"",IF($AC$40=1,"",IF($AC$40=2,"",IF($AC$40=3, 'Non-Level Pres. Dist.'!F184))))</f>
        <v/>
      </c>
      <c r="G111" s="1115"/>
      <c r="H111" s="1115" t="str">
        <f>IF($AC$40=0,"",IF($AC$40=1,"",IF($AC$40=2,"",IF($AC$40=3, 'Non-Level Pres. Dist.'!H184))))</f>
        <v/>
      </c>
      <c r="I111" s="1115"/>
      <c r="J111" s="1115" t="str">
        <f>IF($AC$40=0,"",IF($AC$40=1,"",IF($AC$40=2,"",IF($AC$40=3, 'Non-Level Pres. Dist.'!L184))))</f>
        <v/>
      </c>
      <c r="K111" s="1115"/>
      <c r="L111" s="1133" t="str">
        <f>IF($AC$40=0,"",IF($AC$40=1,"",IF($AC$40=2,"",IF($AC$40=3, 'Non-Level Pres. Dist.'!N184))))</f>
        <v/>
      </c>
      <c r="M111" s="1133"/>
      <c r="N111" s="1133" t="str">
        <f>IF($AC$40=0,"",IF($AC$40=1,"",IF($AC$40=2,"",IF($AC$40=3, 'Non-Level Pres. Dist.'!O184))))</f>
        <v/>
      </c>
      <c r="O111" s="1133"/>
      <c r="P111" s="1112"/>
      <c r="Q111" s="1113"/>
      <c r="R111" s="1113"/>
      <c r="S111" s="1113"/>
      <c r="T111" s="1114"/>
      <c r="Z111" s="1"/>
      <c r="AA111" s="1"/>
      <c r="AB111" s="1"/>
      <c r="AC111" s="1"/>
      <c r="AD111" s="1"/>
      <c r="AE111" s="1"/>
      <c r="AF111" s="1"/>
      <c r="AG111" s="1"/>
      <c r="AO111" s="1"/>
      <c r="AP111" s="1"/>
    </row>
    <row r="112" spans="1:42" ht="18.600000000000001" customHeight="1">
      <c r="A112" s="600" t="s">
        <v>324</v>
      </c>
      <c r="B112" s="600"/>
      <c r="C112" s="858" t="str">
        <f>IF($AC$40=0,"",IF($AC$40=1,"",IF($AC$40=2,"",IF($AC$40=3, 'Non-Level Pres. Dist.'!F12))))</f>
        <v/>
      </c>
      <c r="D112" s="1122" t="str">
        <f>IF($AC$40=0,"",IF($AC$40=1,"",IF($AC$40=2,"",IF($AC$40=3, 'Non-Level Pres. Dist.'!D185))))</f>
        <v/>
      </c>
      <c r="E112" s="1123"/>
      <c r="F112" s="1115" t="str">
        <f>IF($AC$40=0,"",IF($AC$40=1,"",IF($AC$40=2,"",IF($AC$40=3, 'Non-Level Pres. Dist.'!F185))))</f>
        <v/>
      </c>
      <c r="G112" s="1115"/>
      <c r="H112" s="1115" t="str">
        <f>IF($AC$40=0,"",IF($AC$40=1,"",IF($AC$40=2,"",IF($AC$40=3, 'Non-Level Pres. Dist.'!H185))))</f>
        <v/>
      </c>
      <c r="I112" s="1115"/>
      <c r="J112" s="1115" t="str">
        <f>IF($AC$40=0,"",IF($AC$40=1,"",IF($AC$40=2,"",IF($AC$40=3, 'Non-Level Pres. Dist.'!L185))))</f>
        <v/>
      </c>
      <c r="K112" s="1115"/>
      <c r="L112" s="1133" t="str">
        <f>IF($AC$40=0,"",IF($AC$40=1,"",IF($AC$40=2,"",IF($AC$40=3, 'Non-Level Pres. Dist.'!N185))))</f>
        <v/>
      </c>
      <c r="M112" s="1133"/>
      <c r="N112" s="1133" t="str">
        <f>IF($AC$40=0,"",IF($AC$40=1,"",IF($AC$40=2,"",IF($AC$40=3, 'Non-Level Pres. Dist.'!O185))))</f>
        <v/>
      </c>
      <c r="O112" s="1133"/>
      <c r="P112" s="1138" t="s">
        <v>1164</v>
      </c>
      <c r="Q112" s="1139"/>
      <c r="R112" s="1139"/>
      <c r="S112" s="1139"/>
      <c r="T112" s="1140"/>
      <c r="U112" s="1"/>
      <c r="V112" s="1"/>
      <c r="W112" s="1"/>
      <c r="X112" s="1"/>
      <c r="Y112" s="1"/>
      <c r="Z112" s="1"/>
      <c r="AA112" s="1"/>
      <c r="AB112" s="1"/>
      <c r="AC112" s="1"/>
      <c r="AD112" s="1"/>
      <c r="AE112" s="1"/>
      <c r="AF112" s="1"/>
      <c r="AG112" s="1"/>
      <c r="AO112" s="1"/>
      <c r="AP112" s="1"/>
    </row>
    <row r="113" spans="1:42" ht="18.600000000000001" customHeight="1">
      <c r="A113" s="600" t="s">
        <v>325</v>
      </c>
      <c r="B113" s="600"/>
      <c r="C113" s="858" t="str">
        <f>IF($AC$40=0,"",IF($AC$40=1,"",IF($AC$40=2,"",IF($AC$40=3, 'Non-Level Pres. Dist.'!F14))))</f>
        <v/>
      </c>
      <c r="D113" s="1122" t="str">
        <f>IF($AC$40=0,"",IF($AC$40=1,"",IF($AC$40=2,"",IF($AC$40=3, 'Non-Level Pres. Dist.'!D186))))</f>
        <v/>
      </c>
      <c r="E113" s="1123"/>
      <c r="F113" s="1115" t="str">
        <f>IF($AC$40=0,"",IF($AC$40=1,"",IF($AC$40=2,"",IF($AC$40=3, 'Non-Level Pres. Dist.'!F186))))</f>
        <v/>
      </c>
      <c r="G113" s="1115"/>
      <c r="H113" s="1115" t="str">
        <f>IF($AC$40=0,"",IF($AC$40=1,"",IF($AC$40=2,"",IF($AC$40=3, 'Non-Level Pres. Dist.'!H186))))</f>
        <v/>
      </c>
      <c r="I113" s="1115"/>
      <c r="J113" s="1115" t="str">
        <f>IF($AC$40=0,"",IF($AC$40=1,"",IF($AC$40=2,"",IF($AC$40=3, 'Non-Level Pres. Dist.'!L186))))</f>
        <v/>
      </c>
      <c r="K113" s="1115"/>
      <c r="L113" s="1133" t="str">
        <f>IF($AC$40=0,"",IF($AC$40=1,"",IF($AC$40=2,"",IF($AC$40=3, 'Non-Level Pres. Dist.'!N186))))</f>
        <v/>
      </c>
      <c r="M113" s="1133"/>
      <c r="N113" s="1133" t="str">
        <f>IF($AC$40=0,"",IF($AC$40=1,"",IF($AC$40=2,"",IF($AC$40=3, 'Non-Level Pres. Dist.'!O186))))</f>
        <v/>
      </c>
      <c r="O113" s="1133"/>
      <c r="P113" s="537"/>
      <c r="Q113" s="1120" t="str">
        <f>IF(AC40=3,'Non-Level Pres. Dist.'!K190,"")</f>
        <v/>
      </c>
      <c r="R113" s="1121"/>
      <c r="S113" s="1136" t="s">
        <v>881</v>
      </c>
      <c r="T113" s="1137"/>
      <c r="U113" s="1"/>
      <c r="V113" s="1"/>
      <c r="W113" s="1"/>
      <c r="X113" s="1"/>
      <c r="Y113" s="1"/>
      <c r="Z113" s="1"/>
      <c r="AA113" s="1"/>
      <c r="AB113" s="1"/>
      <c r="AC113" s="1"/>
      <c r="AD113" s="1"/>
      <c r="AE113" s="1"/>
      <c r="AF113" s="1"/>
      <c r="AG113" s="1"/>
      <c r="AO113" s="1"/>
      <c r="AP113" s="1"/>
    </row>
    <row r="114" spans="1:42" ht="18.600000000000001" customHeight="1">
      <c r="A114" s="600" t="s">
        <v>686</v>
      </c>
      <c r="B114" s="600"/>
      <c r="C114" s="858" t="str">
        <f>IF($AC$40=0,"",IF($AC$40=1,"",IF($AC$40=2,"",IF($AC$40=3, 'Non-Level Pres. Dist.'!F16))))</f>
        <v/>
      </c>
      <c r="D114" s="1122" t="str">
        <f>IF($AC$40=0,"",IF($AC$40=1,"",IF($AC$40=2,"",IF($AC$40=3, 'Non-Level Pres. Dist.'!D187))))</f>
        <v/>
      </c>
      <c r="E114" s="1123"/>
      <c r="F114" s="1115" t="str">
        <f>IF($AC$40=0,"",IF($AC$40=1,"",IF($AC$40=2,"",IF($AC$40=3, 'Non-Level Pres. Dist.'!F187))))</f>
        <v/>
      </c>
      <c r="G114" s="1115"/>
      <c r="H114" s="1115" t="str">
        <f>IF($AC$40=0,"",IF($AC$40=1,"",IF($AC$40=2,"",IF($AC$40=3, 'Non-Level Pres. Dist.'!H187))))</f>
        <v/>
      </c>
      <c r="I114" s="1115"/>
      <c r="J114" s="1115" t="str">
        <f>IF($AC$40=0,"",IF($AC$40=1,"",IF($AC$40=2,"",IF($AC$40=3, 'Non-Level Pres. Dist.'!L187))))</f>
        <v/>
      </c>
      <c r="K114" s="1115"/>
      <c r="L114" s="1133" t="str">
        <f>IF($AC$40=0,"",IF($AC$40=1,"",IF($AC$40=2,"",IF($AC$40=3, 'Non-Level Pres. Dist.'!N187))))</f>
        <v/>
      </c>
      <c r="M114" s="1133"/>
      <c r="N114" s="1133" t="str">
        <f>IF($AC$40=0,"",IF($AC$40=1,"",IF($AC$40=2,"",IF($AC$40=3, 'Non-Level Pres. Dist.'!O187))))</f>
        <v/>
      </c>
      <c r="O114" s="1133"/>
      <c r="P114" s="1128"/>
      <c r="Q114" s="1129"/>
      <c r="R114" s="1129"/>
      <c r="S114" s="1129"/>
      <c r="T114" s="1130"/>
      <c r="U114" s="1"/>
      <c r="V114" s="1"/>
      <c r="W114" s="1"/>
      <c r="X114" s="1"/>
      <c r="Y114" s="1"/>
      <c r="Z114" s="1"/>
      <c r="AA114" s="1"/>
      <c r="AB114" s="1"/>
      <c r="AC114" s="1"/>
      <c r="AD114" s="1"/>
      <c r="AE114" s="1"/>
      <c r="AF114" s="1"/>
      <c r="AG114" s="1"/>
      <c r="AO114" s="1"/>
      <c r="AP114" s="1"/>
    </row>
    <row r="115" spans="1:42" ht="6" customHeight="1">
      <c r="A115" s="606"/>
      <c r="C115" s="3"/>
      <c r="K115" s="3"/>
      <c r="L115" s="3"/>
      <c r="R115" s="20"/>
      <c r="S115" s="20"/>
      <c r="T115" s="607"/>
      <c r="V115" s="1"/>
      <c r="W115" s="1"/>
      <c r="X115" s="1"/>
      <c r="Y115" s="1"/>
      <c r="Z115" s="1"/>
      <c r="AA115" s="1"/>
      <c r="AB115" s="1"/>
      <c r="AC115" s="1"/>
      <c r="AD115" s="1"/>
      <c r="AE115" s="1"/>
      <c r="AF115" s="1"/>
      <c r="AG115" s="1"/>
      <c r="AH115" s="1"/>
      <c r="AI115" s="1"/>
    </row>
    <row r="116" spans="1:42" ht="18" customHeight="1">
      <c r="A116" s="603" t="s">
        <v>96</v>
      </c>
      <c r="B116" s="1134" t="s">
        <v>827</v>
      </c>
      <c r="C116" s="1134"/>
      <c r="D116" s="1134"/>
      <c r="E116" s="1134"/>
      <c r="F116" s="1134"/>
      <c r="G116" s="1134"/>
      <c r="H116" s="1134"/>
      <c r="I116" s="1134"/>
      <c r="J116" s="1134"/>
      <c r="K116" s="1134"/>
      <c r="L116" s="1134"/>
      <c r="M116" s="1134"/>
      <c r="N116" s="1134"/>
      <c r="O116" s="1134"/>
      <c r="P116" s="1134"/>
      <c r="Q116" s="1134"/>
      <c r="R116" s="1134"/>
      <c r="S116" s="1134"/>
      <c r="T116" s="1135"/>
      <c r="U116" s="90"/>
      <c r="V116" s="1"/>
      <c r="W116" s="1"/>
      <c r="X116" s="1"/>
      <c r="Y116" s="1"/>
      <c r="Z116" s="1"/>
      <c r="AA116" s="1"/>
      <c r="AB116" s="1"/>
      <c r="AC116" s="1"/>
      <c r="AD116" s="1"/>
      <c r="AE116" s="1"/>
      <c r="AF116" s="1"/>
      <c r="AG116" s="1"/>
      <c r="AH116" s="1"/>
      <c r="AI116" s="1"/>
    </row>
    <row r="117" spans="1:42" ht="6" customHeight="1">
      <c r="A117" s="606"/>
      <c r="C117" s="3"/>
      <c r="K117" s="3"/>
      <c r="L117" s="3"/>
      <c r="R117" s="20"/>
      <c r="S117" s="20"/>
      <c r="T117" s="607"/>
      <c r="V117" s="1"/>
      <c r="W117" s="1"/>
      <c r="X117" s="1"/>
      <c r="Y117" s="1"/>
      <c r="Z117" s="1"/>
      <c r="AA117" s="1"/>
      <c r="AB117" s="1"/>
      <c r="AC117" s="1"/>
      <c r="AD117" s="1"/>
      <c r="AE117" s="1"/>
      <c r="AF117" s="1"/>
      <c r="AG117" s="1"/>
      <c r="AH117" s="1"/>
      <c r="AI117" s="1"/>
    </row>
    <row r="118" spans="1:42" ht="18" customHeight="1">
      <c r="A118" s="140" t="s">
        <v>154</v>
      </c>
      <c r="B118" s="1194" t="s">
        <v>1205</v>
      </c>
      <c r="C118" s="1194"/>
      <c r="D118" s="1194"/>
      <c r="E118" s="1194"/>
      <c r="F118" s="1194"/>
      <c r="G118" s="1194"/>
      <c r="H118" s="1194"/>
      <c r="I118" s="1194"/>
      <c r="J118" s="1194"/>
      <c r="K118" s="1194"/>
      <c r="L118" s="1194"/>
      <c r="M118" s="1194"/>
      <c r="N118" s="1194"/>
      <c r="O118" s="1194"/>
      <c r="P118" s="1194"/>
      <c r="Q118" s="1194"/>
      <c r="R118" s="1194"/>
      <c r="S118" s="20"/>
      <c r="T118" s="607"/>
      <c r="V118" s="1"/>
      <c r="W118" s="1"/>
      <c r="X118" s="1"/>
      <c r="Y118" s="1"/>
      <c r="Z118" s="1"/>
      <c r="AA118" s="1"/>
      <c r="AB118" s="1"/>
      <c r="AC118" s="1"/>
      <c r="AD118" s="1"/>
      <c r="AE118" s="1"/>
      <c r="AF118" s="1"/>
      <c r="AG118" s="1"/>
      <c r="AH118" s="1"/>
      <c r="AI118" s="1"/>
    </row>
    <row r="119" spans="1:42" ht="6" customHeight="1">
      <c r="A119" s="608"/>
      <c r="C119" s="3"/>
      <c r="K119" s="3"/>
      <c r="L119" s="3"/>
      <c r="R119" s="20"/>
      <c r="S119" s="20"/>
      <c r="T119" s="607"/>
      <c r="V119" s="1"/>
      <c r="W119" s="1"/>
      <c r="X119" s="1"/>
      <c r="Y119" s="1"/>
      <c r="Z119" s="1"/>
      <c r="AA119" s="1"/>
      <c r="AB119" s="1"/>
      <c r="AC119" s="1"/>
      <c r="AD119" s="1"/>
      <c r="AE119" s="1"/>
      <c r="AF119" s="1"/>
      <c r="AG119" s="1"/>
      <c r="AH119" s="1"/>
      <c r="AI119" s="1"/>
    </row>
    <row r="120" spans="1:42" ht="18" customHeight="1">
      <c r="A120" s="609" t="s">
        <v>93</v>
      </c>
      <c r="B120" s="1081" t="s">
        <v>843</v>
      </c>
      <c r="C120" s="1081"/>
      <c r="D120" s="1081"/>
      <c r="E120" s="1081"/>
      <c r="F120" s="1081"/>
      <c r="G120" s="1081"/>
      <c r="H120" s="1081"/>
      <c r="I120" s="1081"/>
      <c r="J120" s="1081"/>
      <c r="K120" s="1081"/>
      <c r="L120" s="1081"/>
      <c r="M120" s="1081"/>
      <c r="N120" s="1081"/>
      <c r="O120" s="1081"/>
      <c r="P120" s="1081"/>
      <c r="Q120" s="1081"/>
      <c r="R120" s="1081"/>
      <c r="S120" s="20"/>
      <c r="T120" s="607"/>
    </row>
    <row r="121" spans="1:42" ht="6" customHeight="1">
      <c r="A121" s="56"/>
      <c r="S121" s="4"/>
      <c r="T121" s="125"/>
      <c r="AC121" s="1"/>
      <c r="AD121" s="1"/>
      <c r="AE121" s="1"/>
      <c r="AF121" s="1"/>
    </row>
    <row r="122" spans="1:42" ht="18" customHeight="1">
      <c r="A122" s="608"/>
      <c r="B122" s="961" t="str">
        <f>IF(ISBLANK(F122),"",D9)</f>
        <v/>
      </c>
      <c r="C122" s="962"/>
      <c r="D122" s="1136" t="s">
        <v>313</v>
      </c>
      <c r="E122" s="1137"/>
      <c r="F122" s="1060"/>
      <c r="G122" s="1062"/>
      <c r="H122" s="1053" t="s">
        <v>293</v>
      </c>
      <c r="I122" s="1161"/>
      <c r="J122" s="1161"/>
      <c r="K122" s="1161"/>
      <c r="L122" s="1087" t="str">
        <f>IF(ISBLANK(F122),"",(B122*F122*8.35)/1000000)</f>
        <v/>
      </c>
      <c r="M122" s="1088"/>
      <c r="N122" s="8" t="s">
        <v>73</v>
      </c>
      <c r="O122" s="20"/>
      <c r="P122" s="129"/>
      <c r="Q122" s="23"/>
      <c r="R122" s="23"/>
      <c r="S122" s="20"/>
      <c r="T122" s="607"/>
    </row>
    <row r="123" spans="1:42" ht="6" customHeight="1">
      <c r="A123" s="56"/>
      <c r="S123" s="4"/>
      <c r="T123" s="125"/>
      <c r="AC123" s="1"/>
      <c r="AD123" s="1"/>
      <c r="AE123" s="1"/>
      <c r="AF123" s="1"/>
    </row>
    <row r="124" spans="1:42" ht="18" customHeight="1">
      <c r="A124" s="609" t="s">
        <v>94</v>
      </c>
      <c r="B124" s="3" t="s">
        <v>828</v>
      </c>
      <c r="C124" s="59"/>
      <c r="D124" s="59"/>
      <c r="E124" s="59"/>
      <c r="F124" s="59"/>
      <c r="G124" s="59"/>
      <c r="H124" s="1060"/>
      <c r="I124" s="1061"/>
      <c r="J124" s="1061"/>
      <c r="K124" s="1061"/>
      <c r="L124" s="1061"/>
      <c r="M124" s="1061"/>
      <c r="N124" s="1061"/>
      <c r="O124" s="1061"/>
      <c r="P124" s="1061"/>
      <c r="Q124" s="1061"/>
      <c r="R124" s="1062"/>
      <c r="S124" s="20"/>
      <c r="T124" s="607"/>
    </row>
    <row r="125" spans="1:42" ht="6" customHeight="1">
      <c r="A125" s="56"/>
      <c r="S125" s="4"/>
      <c r="T125" s="125"/>
      <c r="AC125" s="1"/>
      <c r="AD125" s="1"/>
      <c r="AE125" s="1"/>
      <c r="AF125" s="1"/>
    </row>
    <row r="126" spans="1:42" ht="18" customHeight="1">
      <c r="A126" s="783" t="s">
        <v>148</v>
      </c>
      <c r="B126" s="45" t="s">
        <v>1206</v>
      </c>
      <c r="C126" s="42"/>
      <c r="D126" s="4"/>
      <c r="E126" s="4"/>
      <c r="F126" s="35"/>
      <c r="G126" s="35"/>
      <c r="H126" s="8"/>
      <c r="I126" s="3"/>
      <c r="J126" s="3"/>
      <c r="K126" s="3"/>
      <c r="L126" s="66"/>
      <c r="M126" s="66"/>
      <c r="N126" s="8"/>
      <c r="O126" s="20"/>
      <c r="S126" s="20"/>
      <c r="T126" s="607"/>
    </row>
    <row r="127" spans="1:42" ht="6" customHeight="1">
      <c r="A127" s="608"/>
      <c r="C127" s="35"/>
      <c r="D127" s="4"/>
      <c r="E127" s="35"/>
      <c r="F127" s="35"/>
      <c r="G127" s="4"/>
      <c r="H127" s="4"/>
      <c r="I127" s="4"/>
      <c r="J127" s="4"/>
      <c r="K127" s="35"/>
      <c r="L127" s="35"/>
      <c r="M127" s="4"/>
      <c r="S127" s="20"/>
      <c r="T127" s="607"/>
    </row>
    <row r="128" spans="1:42" ht="18" customHeight="1">
      <c r="A128" s="140"/>
      <c r="B128" s="1148"/>
      <c r="C128" s="1149"/>
      <c r="D128" s="8" t="s">
        <v>1207</v>
      </c>
      <c r="E128" s="8"/>
      <c r="H128" s="998" t="str">
        <f>IF(ISBLANK(F122),"",MAX(E69,E77,E83,E95))</f>
        <v/>
      </c>
      <c r="I128" s="999"/>
      <c r="J128" s="8" t="s">
        <v>212</v>
      </c>
      <c r="K128" s="1063" t="str">
        <f>IF(ISBLANK(F122),"",B128*8.35/1000000/H128)</f>
        <v/>
      </c>
      <c r="L128" s="1064"/>
      <c r="M128" s="3" t="s">
        <v>66</v>
      </c>
      <c r="N128" s="3"/>
      <c r="Q128" s="23"/>
      <c r="R128" s="23"/>
      <c r="S128" s="784"/>
      <c r="T128" s="607"/>
    </row>
    <row r="129" spans="1:42" ht="6" customHeight="1">
      <c r="A129" s="608"/>
      <c r="S129" s="20"/>
      <c r="T129" s="607"/>
    </row>
    <row r="130" spans="1:42" ht="18" customHeight="1">
      <c r="A130" s="780" t="s">
        <v>297</v>
      </c>
      <c r="B130" s="385"/>
      <c r="C130" s="386"/>
      <c r="D130" s="386"/>
      <c r="E130" s="386"/>
      <c r="F130" s="386"/>
      <c r="G130" s="386"/>
      <c r="H130" s="386"/>
      <c r="I130" s="386"/>
      <c r="J130" s="386"/>
      <c r="K130" s="386"/>
      <c r="L130" s="386"/>
      <c r="M130" s="386"/>
      <c r="N130" s="386"/>
      <c r="O130" s="386"/>
      <c r="P130" s="386"/>
      <c r="Q130" s="386"/>
      <c r="R130" s="386"/>
      <c r="S130" s="794"/>
      <c r="T130" s="795"/>
    </row>
    <row r="131" spans="1:42" ht="6" customHeight="1">
      <c r="A131" s="608"/>
      <c r="S131" s="20"/>
      <c r="T131" s="607"/>
      <c r="AC131" s="1"/>
      <c r="AD131" s="1"/>
      <c r="AE131" s="1"/>
      <c r="AF131" s="1"/>
    </row>
    <row r="132" spans="1:42" ht="18" customHeight="1">
      <c r="A132" s="808"/>
      <c r="B132" s="1152"/>
      <c r="C132" s="1153"/>
      <c r="D132" s="1153"/>
      <c r="E132" s="1153"/>
      <c r="F132" s="1153"/>
      <c r="G132" s="1153"/>
      <c r="H132" s="1153"/>
      <c r="I132" s="1153"/>
      <c r="J132" s="1153"/>
      <c r="K132" s="1153"/>
      <c r="L132" s="1153"/>
      <c r="M132" s="1153"/>
      <c r="N132" s="1153"/>
      <c r="O132" s="1153"/>
      <c r="P132" s="1153"/>
      <c r="Q132" s="1153"/>
      <c r="R132" s="1153"/>
      <c r="S132" s="1154"/>
      <c r="T132" s="796"/>
    </row>
    <row r="133" spans="1:42" ht="18" customHeight="1">
      <c r="A133" s="809"/>
      <c r="B133" s="1155"/>
      <c r="C133" s="1156"/>
      <c r="D133" s="1156"/>
      <c r="E133" s="1156"/>
      <c r="F133" s="1156"/>
      <c r="G133" s="1156"/>
      <c r="H133" s="1156"/>
      <c r="I133" s="1156"/>
      <c r="J133" s="1156"/>
      <c r="K133" s="1156"/>
      <c r="L133" s="1156"/>
      <c r="M133" s="1156"/>
      <c r="N133" s="1156"/>
      <c r="O133" s="1156"/>
      <c r="P133" s="1156"/>
      <c r="Q133" s="1156"/>
      <c r="R133" s="1156"/>
      <c r="S133" s="1157"/>
      <c r="T133" s="796"/>
    </row>
    <row r="134" spans="1:42" ht="6" customHeight="1">
      <c r="A134" s="809"/>
      <c r="B134" s="1155"/>
      <c r="C134" s="1156"/>
      <c r="D134" s="1156"/>
      <c r="E134" s="1156"/>
      <c r="F134" s="1156"/>
      <c r="G134" s="1156"/>
      <c r="H134" s="1156"/>
      <c r="I134" s="1156"/>
      <c r="J134" s="1156"/>
      <c r="K134" s="1156"/>
      <c r="L134" s="1156"/>
      <c r="M134" s="1156"/>
      <c r="N134" s="1156"/>
      <c r="O134" s="1156"/>
      <c r="P134" s="1156"/>
      <c r="Q134" s="1156"/>
      <c r="R134" s="1156"/>
      <c r="S134" s="1157"/>
      <c r="T134" s="796"/>
    </row>
    <row r="135" spans="1:42" ht="18" customHeight="1">
      <c r="A135" s="809"/>
      <c r="B135" s="1155"/>
      <c r="C135" s="1156"/>
      <c r="D135" s="1156"/>
      <c r="E135" s="1156"/>
      <c r="F135" s="1156"/>
      <c r="G135" s="1156"/>
      <c r="H135" s="1156"/>
      <c r="I135" s="1156"/>
      <c r="J135" s="1156"/>
      <c r="K135" s="1156"/>
      <c r="L135" s="1156"/>
      <c r="M135" s="1156"/>
      <c r="N135" s="1156"/>
      <c r="O135" s="1156"/>
      <c r="P135" s="1156"/>
      <c r="Q135" s="1156"/>
      <c r="R135" s="1156"/>
      <c r="S135" s="1157"/>
      <c r="T135" s="796"/>
    </row>
    <row r="136" spans="1:42" ht="18" customHeight="1">
      <c r="A136" s="810"/>
      <c r="B136" s="1155"/>
      <c r="C136" s="1156"/>
      <c r="D136" s="1156"/>
      <c r="E136" s="1156"/>
      <c r="F136" s="1156"/>
      <c r="G136" s="1156"/>
      <c r="H136" s="1156"/>
      <c r="I136" s="1156"/>
      <c r="J136" s="1156"/>
      <c r="K136" s="1156"/>
      <c r="L136" s="1156"/>
      <c r="M136" s="1156"/>
      <c r="N136" s="1156"/>
      <c r="O136" s="1156"/>
      <c r="P136" s="1156"/>
      <c r="Q136" s="1156"/>
      <c r="R136" s="1156"/>
      <c r="S136" s="1157"/>
      <c r="T136" s="811"/>
    </row>
    <row r="137" spans="1:42" ht="18" customHeight="1">
      <c r="A137" s="810"/>
      <c r="B137" s="1155"/>
      <c r="C137" s="1156"/>
      <c r="D137" s="1156"/>
      <c r="E137" s="1156"/>
      <c r="F137" s="1156"/>
      <c r="G137" s="1156"/>
      <c r="H137" s="1156"/>
      <c r="I137" s="1156"/>
      <c r="J137" s="1156"/>
      <c r="K137" s="1156"/>
      <c r="L137" s="1156"/>
      <c r="M137" s="1156"/>
      <c r="N137" s="1156"/>
      <c r="O137" s="1156"/>
      <c r="P137" s="1156"/>
      <c r="Q137" s="1156"/>
      <c r="R137" s="1156"/>
      <c r="S137" s="1157"/>
      <c r="T137" s="811"/>
    </row>
    <row r="138" spans="1:42" ht="18" customHeight="1">
      <c r="A138" s="810"/>
      <c r="B138" s="1155"/>
      <c r="C138" s="1156"/>
      <c r="D138" s="1156"/>
      <c r="E138" s="1156"/>
      <c r="F138" s="1156"/>
      <c r="G138" s="1156"/>
      <c r="H138" s="1156"/>
      <c r="I138" s="1156"/>
      <c r="J138" s="1156"/>
      <c r="K138" s="1156"/>
      <c r="L138" s="1156"/>
      <c r="M138" s="1156"/>
      <c r="N138" s="1156"/>
      <c r="O138" s="1156"/>
      <c r="P138" s="1156"/>
      <c r="Q138" s="1156"/>
      <c r="R138" s="1156"/>
      <c r="S138" s="1157"/>
      <c r="T138" s="811"/>
    </row>
    <row r="139" spans="1:42" ht="18" customHeight="1">
      <c r="A139" s="812"/>
      <c r="B139" s="1155"/>
      <c r="C139" s="1156"/>
      <c r="D139" s="1156"/>
      <c r="E139" s="1156"/>
      <c r="F139" s="1156"/>
      <c r="G139" s="1156"/>
      <c r="H139" s="1156"/>
      <c r="I139" s="1156"/>
      <c r="J139" s="1156"/>
      <c r="K139" s="1156"/>
      <c r="L139" s="1156"/>
      <c r="M139" s="1156"/>
      <c r="N139" s="1156"/>
      <c r="O139" s="1156"/>
      <c r="P139" s="1156"/>
      <c r="Q139" s="1156"/>
      <c r="R139" s="1156"/>
      <c r="S139" s="1157"/>
      <c r="T139" s="813"/>
    </row>
    <row r="140" spans="1:42" ht="18" customHeight="1">
      <c r="A140" s="812"/>
      <c r="B140" s="1158"/>
      <c r="C140" s="1159"/>
      <c r="D140" s="1159"/>
      <c r="E140" s="1159"/>
      <c r="F140" s="1159"/>
      <c r="G140" s="1159"/>
      <c r="H140" s="1159"/>
      <c r="I140" s="1159"/>
      <c r="J140" s="1159"/>
      <c r="K140" s="1159"/>
      <c r="L140" s="1159"/>
      <c r="M140" s="1159"/>
      <c r="N140" s="1159"/>
      <c r="O140" s="1159"/>
      <c r="P140" s="1159"/>
      <c r="Q140" s="1159"/>
      <c r="R140" s="1159"/>
      <c r="S140" s="1160"/>
      <c r="T140" s="813"/>
    </row>
    <row r="141" spans="1:42" s="379" customFormat="1" ht="6" customHeight="1">
      <c r="A141" s="812"/>
      <c r="B141" s="793"/>
      <c r="C141" s="793"/>
      <c r="D141" s="793"/>
      <c r="E141" s="793"/>
      <c r="F141" s="793"/>
      <c r="G141" s="35"/>
      <c r="H141" s="793"/>
      <c r="I141" s="793"/>
      <c r="J141" s="793"/>
      <c r="K141" s="793"/>
      <c r="L141" s="35"/>
      <c r="M141" s="793"/>
      <c r="N141" s="793"/>
      <c r="O141" s="793"/>
      <c r="P141" s="35"/>
      <c r="Q141" s="781"/>
      <c r="R141" s="782"/>
      <c r="S141" s="782"/>
      <c r="T141" s="813"/>
      <c r="U141" s="573"/>
      <c r="V141" s="573"/>
      <c r="W141" s="573"/>
      <c r="X141" s="573"/>
      <c r="Y141" s="573"/>
      <c r="Z141" s="573"/>
      <c r="AA141" s="573"/>
      <c r="AB141" s="573"/>
      <c r="AC141" s="573"/>
      <c r="AD141" s="573"/>
      <c r="AE141" s="573"/>
      <c r="AF141" s="573"/>
      <c r="AG141" s="573"/>
      <c r="AH141" s="573"/>
      <c r="AI141" s="573"/>
      <c r="AJ141" s="573"/>
      <c r="AK141" s="573"/>
      <c r="AL141" s="573"/>
      <c r="AM141" s="573"/>
      <c r="AN141" s="573"/>
      <c r="AO141" s="573"/>
      <c r="AP141" s="573"/>
    </row>
    <row r="142" spans="1:42" s="379" customFormat="1" ht="16.899999999999999" customHeight="1">
      <c r="A142" s="812"/>
      <c r="B142" s="38"/>
      <c r="C142" s="8" t="s">
        <v>142</v>
      </c>
      <c r="D142" s="8"/>
      <c r="E142" s="8"/>
      <c r="F142" s="8"/>
      <c r="G142" s="8"/>
      <c r="H142" s="8"/>
      <c r="I142" s="8"/>
      <c r="J142" s="8"/>
      <c r="K142" s="1"/>
      <c r="L142" s="1"/>
      <c r="M142" s="1"/>
      <c r="N142" s="1"/>
      <c r="O142" s="1"/>
      <c r="P142" s="1"/>
      <c r="Q142" s="1"/>
      <c r="R142" s="8"/>
      <c r="S142" s="779"/>
      <c r="T142" s="813"/>
      <c r="U142" s="573"/>
      <c r="V142" s="573"/>
      <c r="W142" s="573"/>
      <c r="X142" s="573"/>
      <c r="Y142" s="573"/>
      <c r="Z142" s="573"/>
      <c r="AA142" s="573"/>
      <c r="AB142" s="573"/>
      <c r="AC142" s="573"/>
      <c r="AD142" s="573"/>
      <c r="AE142" s="573"/>
      <c r="AF142" s="573"/>
      <c r="AG142" s="573"/>
      <c r="AH142" s="573"/>
      <c r="AI142" s="573"/>
      <c r="AJ142" s="573"/>
      <c r="AK142" s="573"/>
      <c r="AL142" s="573"/>
      <c r="AM142" s="573"/>
      <c r="AN142" s="573"/>
      <c r="AO142" s="573"/>
      <c r="AP142" s="573"/>
    </row>
    <row r="143" spans="1:42" ht="10.15" customHeight="1">
      <c r="A143" s="812"/>
      <c r="B143" s="571"/>
      <c r="C143" s="379"/>
      <c r="D143" s="379"/>
      <c r="E143" s="379"/>
      <c r="F143" s="379"/>
      <c r="G143" s="879"/>
      <c r="H143" s="879"/>
      <c r="I143" s="879"/>
      <c r="J143" s="879"/>
      <c r="K143" s="880"/>
      <c r="L143" s="880"/>
      <c r="M143" s="572"/>
      <c r="N143" s="572"/>
      <c r="O143" s="572"/>
      <c r="P143" s="572"/>
      <c r="Q143" s="572"/>
      <c r="R143" s="379"/>
      <c r="S143" s="779"/>
      <c r="T143" s="813"/>
    </row>
    <row r="144" spans="1:42" ht="25.15" customHeight="1">
      <c r="A144" s="606"/>
      <c r="B144" s="1150"/>
      <c r="C144" s="1150"/>
      <c r="D144" s="1150"/>
      <c r="E144" s="1150"/>
      <c r="F144" s="1150"/>
      <c r="G144" s="881"/>
      <c r="H144" s="1150"/>
      <c r="I144" s="1150"/>
      <c r="J144" s="1150"/>
      <c r="K144" s="1150"/>
      <c r="L144" s="882"/>
      <c r="M144" s="1150"/>
      <c r="N144" s="1150"/>
      <c r="O144" s="1150"/>
      <c r="Q144" s="1059" t="str">
        <f>IF(ISBLANK(M144)," ",Q5)</f>
        <v xml:space="preserve"> </v>
      </c>
      <c r="R144" s="1059"/>
      <c r="S144" s="1059"/>
      <c r="T144" s="55"/>
    </row>
    <row r="145" spans="1:39" ht="14.1" customHeight="1">
      <c r="A145" s="814"/>
      <c r="B145" s="1141" t="s">
        <v>143</v>
      </c>
      <c r="C145" s="1141"/>
      <c r="D145" s="1141"/>
      <c r="E145" s="1141"/>
      <c r="F145" s="1141"/>
      <c r="G145" s="860"/>
      <c r="H145" s="1151" t="s">
        <v>144</v>
      </c>
      <c r="I145" s="1151"/>
      <c r="J145" s="1151"/>
      <c r="K145" s="1151"/>
      <c r="L145" s="860"/>
      <c r="M145" s="1141" t="s">
        <v>145</v>
      </c>
      <c r="N145" s="1141"/>
      <c r="O145" s="1141"/>
      <c r="Q145" s="1191" t="s">
        <v>146</v>
      </c>
      <c r="R145" s="1191"/>
      <c r="S145" s="1191"/>
      <c r="T145" s="815"/>
      <c r="Y145" s="445"/>
      <c r="Z145" s="445"/>
      <c r="AA145" s="445"/>
      <c r="AB145" s="445"/>
      <c r="AC145" s="445"/>
      <c r="AD145" s="445"/>
      <c r="AE145" s="445"/>
      <c r="AF145" s="445"/>
    </row>
    <row r="146" spans="1:39" ht="14.1" customHeight="1">
      <c r="A146" s="610"/>
      <c r="B146" s="631"/>
      <c r="C146" s="30"/>
      <c r="D146" s="30"/>
      <c r="E146" s="30"/>
      <c r="F146" s="30"/>
      <c r="G146" s="901"/>
      <c r="H146" s="901"/>
      <c r="I146" s="901"/>
      <c r="J146" s="901"/>
      <c r="K146" s="901"/>
      <c r="L146" s="901"/>
      <c r="M146" s="30"/>
      <c r="N146" s="30"/>
      <c r="O146" s="30"/>
      <c r="P146" s="30"/>
      <c r="Q146" s="30"/>
      <c r="R146" s="30"/>
      <c r="S146" s="30"/>
      <c r="T146" s="903"/>
      <c r="Y146" s="445"/>
      <c r="Z146" s="445"/>
      <c r="AA146" s="445"/>
      <c r="AB146" s="445"/>
      <c r="AC146" s="445"/>
      <c r="AD146" s="445"/>
      <c r="AE146" s="445"/>
      <c r="AF146" s="445"/>
    </row>
    <row r="147" spans="1:39" ht="14.1" customHeight="1">
      <c r="T147" s="902"/>
      <c r="W147" s="778" t="s">
        <v>611</v>
      </c>
      <c r="Y147" s="446"/>
      <c r="Z147" s="445"/>
      <c r="AA147" s="446"/>
      <c r="AB147" s="92"/>
      <c r="AC147" s="447"/>
      <c r="AD147" s="447"/>
      <c r="AE147" s="445"/>
      <c r="AF147" s="448"/>
      <c r="AH147" s="99"/>
      <c r="AI147" s="98"/>
      <c r="AJ147" s="1"/>
      <c r="AK147" s="1"/>
      <c r="AL147" s="28"/>
      <c r="AM147" s="1"/>
    </row>
    <row r="148" spans="1:39" ht="14.1" customHeight="1">
      <c r="Y148" s="446"/>
      <c r="Z148" s="445"/>
      <c r="AA148" s="449"/>
      <c r="AB148" s="445"/>
      <c r="AC148" s="447"/>
      <c r="AD148" s="447"/>
      <c r="AE148" s="445"/>
      <c r="AF148" s="448"/>
      <c r="AH148" s="99"/>
      <c r="AI148" s="1"/>
      <c r="AJ148" s="1"/>
      <c r="AK148" s="1"/>
      <c r="AL148" s="1"/>
      <c r="AM148" s="1"/>
    </row>
    <row r="149" spans="1:39" ht="14.1" customHeight="1">
      <c r="Y149" s="446"/>
      <c r="Z149" s="445"/>
      <c r="AA149" s="449"/>
      <c r="AB149" s="445"/>
      <c r="AC149" s="447"/>
      <c r="AD149" s="445"/>
      <c r="AE149" s="445"/>
      <c r="AF149" s="448"/>
      <c r="AH149" s="99"/>
      <c r="AI149" s="1"/>
      <c r="AJ149" s="1"/>
      <c r="AK149" s="1"/>
      <c r="AL149" s="1"/>
      <c r="AM149" s="1"/>
    </row>
    <row r="150" spans="1:39" ht="14.1" customHeight="1">
      <c r="Y150" s="446"/>
      <c r="Z150" s="445"/>
      <c r="AA150" s="449"/>
      <c r="AB150" s="92"/>
      <c r="AC150" s="447"/>
      <c r="AD150" s="445"/>
      <c r="AE150" s="445"/>
      <c r="AF150" s="448"/>
    </row>
    <row r="151" spans="1:39" ht="14.1" customHeight="1">
      <c r="Y151" s="446"/>
      <c r="Z151" s="445"/>
      <c r="AA151" s="449"/>
      <c r="AB151" s="445"/>
      <c r="AC151" s="447"/>
      <c r="AD151" s="445"/>
      <c r="AE151" s="445"/>
      <c r="AF151" s="448"/>
    </row>
    <row r="152" spans="1:39" ht="14.1" customHeight="1">
      <c r="Y152" s="445"/>
      <c r="Z152" s="445"/>
      <c r="AA152" s="449"/>
      <c r="AB152" s="92"/>
      <c r="AC152" s="447"/>
      <c r="AD152" s="445"/>
      <c r="AE152" s="445"/>
      <c r="AF152" s="448"/>
    </row>
    <row r="153" spans="1:39" ht="14.1" customHeight="1">
      <c r="Y153" s="445"/>
      <c r="Z153" s="445"/>
      <c r="AA153" s="449"/>
      <c r="AB153" s="445"/>
      <c r="AC153" s="447"/>
      <c r="AD153" s="445"/>
      <c r="AE153" s="445"/>
      <c r="AF153" s="448"/>
    </row>
    <row r="154" spans="1:39" ht="14.1" customHeight="1">
      <c r="Y154" s="445"/>
      <c r="Z154" s="445"/>
      <c r="AA154" s="449"/>
      <c r="AB154" s="92"/>
      <c r="AC154" s="447"/>
      <c r="AD154" s="445"/>
      <c r="AE154" s="445"/>
      <c r="AF154" s="445"/>
    </row>
    <row r="155" spans="1:39" ht="14.1" customHeight="1">
      <c r="Y155" s="445"/>
      <c r="Z155" s="445"/>
      <c r="AA155" s="449"/>
      <c r="AB155" s="92"/>
      <c r="AC155" s="447"/>
      <c r="AD155" s="445"/>
      <c r="AE155" s="445"/>
      <c r="AF155" s="445"/>
    </row>
    <row r="156" spans="1:39" ht="14.1" customHeight="1">
      <c r="Y156" s="445"/>
      <c r="Z156" s="445"/>
      <c r="AA156" s="449"/>
      <c r="AB156" s="92"/>
      <c r="AC156" s="447"/>
      <c r="AD156" s="445"/>
      <c r="AE156" s="445"/>
      <c r="AF156" s="445"/>
    </row>
    <row r="157" spans="1:39" ht="14.1" customHeight="1">
      <c r="Y157" s="445"/>
      <c r="Z157" s="445"/>
      <c r="AA157" s="449"/>
      <c r="AB157" s="92"/>
      <c r="AC157" s="445"/>
      <c r="AD157" s="445"/>
      <c r="AE157" s="445"/>
      <c r="AF157" s="445"/>
    </row>
    <row r="158" spans="1:39" ht="14.1" customHeight="1">
      <c r="Y158" s="445"/>
      <c r="Z158" s="445"/>
      <c r="AA158" s="449"/>
      <c r="AB158" s="92"/>
      <c r="AC158" s="445"/>
      <c r="AD158" s="445"/>
      <c r="AE158" s="445"/>
      <c r="AF158" s="445"/>
    </row>
    <row r="159" spans="1:39" ht="14.1" customHeight="1">
      <c r="Y159" s="445"/>
      <c r="Z159" s="445"/>
      <c r="AA159" s="449"/>
      <c r="AB159" s="445"/>
      <c r="AC159" s="445"/>
      <c r="AD159" s="445"/>
      <c r="AE159" s="445"/>
      <c r="AF159" s="445"/>
    </row>
    <row r="160" spans="1:39" ht="14.1" customHeight="1">
      <c r="Y160" s="445"/>
      <c r="Z160" s="445"/>
      <c r="AA160" s="449"/>
      <c r="AB160" s="445"/>
      <c r="AC160" s="445"/>
      <c r="AD160" s="445"/>
      <c r="AE160" s="445"/>
      <c r="AF160" s="445"/>
    </row>
    <row r="161" spans="25:32" ht="14.1" customHeight="1">
      <c r="Y161" s="445"/>
      <c r="Z161" s="445"/>
      <c r="AA161" s="449"/>
      <c r="AB161" s="445"/>
      <c r="AC161" s="445"/>
      <c r="AD161" s="445"/>
      <c r="AE161" s="445"/>
      <c r="AF161" s="445"/>
    </row>
    <row r="162" spans="25:32" ht="14.1" customHeight="1">
      <c r="Y162" s="445"/>
      <c r="Z162" s="445"/>
      <c r="AA162" s="449"/>
      <c r="AB162" s="445"/>
      <c r="AC162" s="445"/>
      <c r="AD162" s="445"/>
      <c r="AE162" s="445"/>
      <c r="AF162" s="445"/>
    </row>
    <row r="163" spans="25:32" ht="14.1" customHeight="1">
      <c r="Y163" s="445"/>
      <c r="Z163" s="445"/>
      <c r="AA163" s="449"/>
      <c r="AB163" s="445"/>
      <c r="AC163" s="445"/>
      <c r="AD163" s="445"/>
      <c r="AE163" s="445"/>
      <c r="AF163" s="445"/>
    </row>
    <row r="164" spans="25:32" ht="14.1" customHeight="1">
      <c r="Y164" s="445"/>
      <c r="Z164" s="445"/>
      <c r="AA164" s="449"/>
      <c r="AB164" s="445"/>
      <c r="AC164" s="445"/>
      <c r="AD164" s="445"/>
      <c r="AE164" s="445"/>
      <c r="AF164" s="445"/>
    </row>
    <row r="165" spans="25:32" ht="14.1" customHeight="1">
      <c r="Y165" s="445"/>
      <c r="Z165" s="445"/>
      <c r="AA165" s="449"/>
      <c r="AB165" s="445"/>
      <c r="AC165" s="445"/>
      <c r="AD165" s="445"/>
      <c r="AE165" s="445"/>
      <c r="AF165" s="445"/>
    </row>
    <row r="166" spans="25:32" ht="14.1" customHeight="1">
      <c r="Y166" s="445"/>
      <c r="Z166" s="445"/>
      <c r="AA166" s="449"/>
      <c r="AB166" s="445"/>
      <c r="AC166" s="445"/>
      <c r="AD166" s="445"/>
      <c r="AE166" s="445"/>
      <c r="AF166" s="445"/>
    </row>
    <row r="167" spans="25:32" ht="14.1" customHeight="1">
      <c r="Y167" s="445"/>
      <c r="Z167" s="445"/>
      <c r="AA167" s="449"/>
      <c r="AB167" s="445"/>
      <c r="AC167" s="445"/>
      <c r="AD167" s="445"/>
      <c r="AE167" s="445"/>
      <c r="AF167" s="445"/>
    </row>
    <row r="168" spans="25:32" ht="14.1" customHeight="1">
      <c r="Y168" s="445"/>
      <c r="Z168" s="445"/>
      <c r="AA168" s="449"/>
      <c r="AB168" s="445"/>
      <c r="AC168" s="445"/>
      <c r="AD168" s="445"/>
      <c r="AE168" s="445"/>
      <c r="AF168" s="445"/>
    </row>
    <row r="169" spans="25:32" ht="14.1" customHeight="1">
      <c r="Y169" s="445"/>
      <c r="Z169" s="445"/>
      <c r="AA169" s="449"/>
      <c r="AB169" s="445"/>
      <c r="AC169" s="445"/>
      <c r="AD169" s="445"/>
      <c r="AE169" s="445"/>
      <c r="AF169" s="445"/>
    </row>
    <row r="170" spans="25:32" ht="14.1" customHeight="1">
      <c r="Y170" s="445"/>
      <c r="Z170" s="445"/>
      <c r="AA170" s="449"/>
      <c r="AB170" s="445"/>
      <c r="AC170" s="445"/>
      <c r="AD170" s="445"/>
      <c r="AE170" s="445"/>
      <c r="AF170" s="445"/>
    </row>
    <row r="171" spans="25:32" ht="14.1" customHeight="1">
      <c r="Y171" s="445"/>
      <c r="Z171" s="445"/>
      <c r="AA171" s="449"/>
      <c r="AB171" s="445"/>
      <c r="AC171" s="445"/>
      <c r="AD171" s="445"/>
      <c r="AE171" s="445"/>
      <c r="AF171" s="445"/>
    </row>
    <row r="172" spans="25:32" ht="14.1" customHeight="1">
      <c r="Y172" s="445"/>
      <c r="Z172" s="445"/>
      <c r="AA172" s="449"/>
      <c r="AB172" s="445"/>
      <c r="AC172" s="445"/>
      <c r="AD172" s="445"/>
      <c r="AE172" s="445"/>
      <c r="AF172" s="445"/>
    </row>
    <row r="173" spans="25:32" ht="14.1" customHeight="1">
      <c r="Y173" s="445"/>
      <c r="Z173" s="445"/>
      <c r="AA173" s="449"/>
      <c r="AB173" s="445"/>
      <c r="AC173" s="445"/>
      <c r="AD173" s="445"/>
      <c r="AE173" s="445"/>
      <c r="AF173" s="445"/>
    </row>
    <row r="174" spans="25:32" ht="14.1" customHeight="1">
      <c r="Y174" s="445"/>
      <c r="Z174" s="445"/>
      <c r="AA174" s="449"/>
      <c r="AB174" s="445"/>
      <c r="AC174" s="445"/>
      <c r="AD174" s="445"/>
      <c r="AE174" s="445"/>
      <c r="AF174" s="445"/>
    </row>
    <row r="175" spans="25:32" ht="14.1" customHeight="1">
      <c r="Y175" s="445"/>
      <c r="Z175" s="445"/>
      <c r="AA175" s="449"/>
      <c r="AB175" s="445"/>
      <c r="AC175" s="445"/>
      <c r="AD175" s="445"/>
      <c r="AE175" s="445"/>
      <c r="AF175" s="445"/>
    </row>
    <row r="176" spans="25:32" ht="14.1" customHeight="1">
      <c r="Y176" s="445"/>
      <c r="Z176" s="445"/>
      <c r="AA176" s="449"/>
      <c r="AB176" s="445"/>
      <c r="AC176" s="445"/>
      <c r="AD176" s="445"/>
      <c r="AE176" s="445"/>
      <c r="AF176" s="445"/>
    </row>
  </sheetData>
  <sheetProtection sheet="1" objects="1" scenarios="1"/>
  <customSheetViews>
    <customSheetView guid="{3320ADAB-1745-4CE0-B739-BF2E8269138B}" fitToPage="1" printArea="1" showRuler="0" topLeftCell="A19">
      <selection activeCell="C31" sqref="C31:N32"/>
      <pageMargins left="0.4" right="0.4" top="0.4" bottom="0.4" header="0.5" footer="0.5"/>
      <pageSetup scale="63" orientation="portrait" r:id="rId1"/>
      <headerFooter alignWithMargins="0"/>
    </customSheetView>
    <customSheetView guid="{D1431318-1DB8-4C45-813B-5A8065DFC797}">
      <selection activeCell="Y17" sqref="Y17"/>
      <rowBreaks count="1" manualBreakCount="1">
        <brk id="75" max="19" man="1"/>
      </rowBreaks>
      <pageMargins left="0.4" right="0.4" top="0.4" bottom="0.4" header="0.4" footer="0.5"/>
      <pageSetup scale="75" fitToHeight="2" orientation="portrait" blackAndWhite="1" r:id="rId2"/>
      <headerFooter alignWithMargins="0"/>
    </customSheetView>
  </customSheetViews>
  <mergeCells count="242">
    <mergeCell ref="J23:N23"/>
    <mergeCell ref="O23:S23"/>
    <mergeCell ref="B83:D83"/>
    <mergeCell ref="B77:D77"/>
    <mergeCell ref="E69:F69"/>
    <mergeCell ref="E73:F73"/>
    <mergeCell ref="AB7:AB14"/>
    <mergeCell ref="I19:J19"/>
    <mergeCell ref="M19:N19"/>
    <mergeCell ref="P19:R19"/>
    <mergeCell ref="E19:G19"/>
    <mergeCell ref="F42:G42"/>
    <mergeCell ref="K26:L26"/>
    <mergeCell ref="S30:T30"/>
    <mergeCell ref="E40:H40"/>
    <mergeCell ref="J40:L40"/>
    <mergeCell ref="M40:R40"/>
    <mergeCell ref="G26:H26"/>
    <mergeCell ref="Q30:R30"/>
    <mergeCell ref="B21:H21"/>
    <mergeCell ref="Q34:R34"/>
    <mergeCell ref="H34:I34"/>
    <mergeCell ref="M21:N21"/>
    <mergeCell ref="K21:L21"/>
    <mergeCell ref="G28:H28"/>
    <mergeCell ref="D113:E113"/>
    <mergeCell ref="F113:G113"/>
    <mergeCell ref="J113:K113"/>
    <mergeCell ref="D112:E112"/>
    <mergeCell ref="D110:E110"/>
    <mergeCell ref="B28:F28"/>
    <mergeCell ref="B26:F26"/>
    <mergeCell ref="Q145:S145"/>
    <mergeCell ref="K28:L28"/>
    <mergeCell ref="Q32:R32"/>
    <mergeCell ref="E103:F103"/>
    <mergeCell ref="B89:D89"/>
    <mergeCell ref="B39:G39"/>
    <mergeCell ref="B118:R118"/>
    <mergeCell ref="L109:M109"/>
    <mergeCell ref="K77:L77"/>
    <mergeCell ref="E77:F77"/>
    <mergeCell ref="O83:P83"/>
    <mergeCell ref="K57:T60"/>
    <mergeCell ref="F107:G108"/>
    <mergeCell ref="P69:Q69"/>
    <mergeCell ref="R93:S93"/>
    <mergeCell ref="K95:L95"/>
    <mergeCell ref="K97:L97"/>
    <mergeCell ref="F111:G111"/>
    <mergeCell ref="J107:K108"/>
    <mergeCell ref="J109:K109"/>
    <mergeCell ref="F112:G112"/>
    <mergeCell ref="L113:M113"/>
    <mergeCell ref="J114:K114"/>
    <mergeCell ref="H110:I110"/>
    <mergeCell ref="L107:M108"/>
    <mergeCell ref="L110:M110"/>
    <mergeCell ref="L111:M111"/>
    <mergeCell ref="L112:M112"/>
    <mergeCell ref="L114:M114"/>
    <mergeCell ref="H111:I111"/>
    <mergeCell ref="F110:G110"/>
    <mergeCell ref="H112:I112"/>
    <mergeCell ref="E1:N1"/>
    <mergeCell ref="B7:T7"/>
    <mergeCell ref="A3:D3"/>
    <mergeCell ref="O15:P15"/>
    <mergeCell ref="D9:E9"/>
    <mergeCell ref="E3:N3"/>
    <mergeCell ref="S3:T3"/>
    <mergeCell ref="P9:Q9"/>
    <mergeCell ref="Q3:R3"/>
    <mergeCell ref="A5:C5"/>
    <mergeCell ref="D5:N5"/>
    <mergeCell ref="O3:P3"/>
    <mergeCell ref="K13:L13"/>
    <mergeCell ref="M15:N15"/>
    <mergeCell ref="Q5:R5"/>
    <mergeCell ref="O5:P5"/>
    <mergeCell ref="K11:L11"/>
    <mergeCell ref="E11:G11"/>
    <mergeCell ref="Q13:R13"/>
    <mergeCell ref="H11:J11"/>
    <mergeCell ref="B11:D11"/>
    <mergeCell ref="P11:S11"/>
    <mergeCell ref="N11:O11"/>
    <mergeCell ref="K15:L15"/>
    <mergeCell ref="G32:H32"/>
    <mergeCell ref="G30:H30"/>
    <mergeCell ref="O28:S28"/>
    <mergeCell ref="I21:J21"/>
    <mergeCell ref="B145:F145"/>
    <mergeCell ref="M144:O144"/>
    <mergeCell ref="H145:K145"/>
    <mergeCell ref="L122:M122"/>
    <mergeCell ref="H144:K144"/>
    <mergeCell ref="B122:C122"/>
    <mergeCell ref="B144:F144"/>
    <mergeCell ref="F122:G122"/>
    <mergeCell ref="M145:O145"/>
    <mergeCell ref="B132:S140"/>
    <mergeCell ref="D122:E122"/>
    <mergeCell ref="P111:T111"/>
    <mergeCell ref="O101:Q101"/>
    <mergeCell ref="N109:O109"/>
    <mergeCell ref="Q110:R110"/>
    <mergeCell ref="B128:C128"/>
    <mergeCell ref="H122:K122"/>
    <mergeCell ref="R101:S101"/>
    <mergeCell ref="R103:S103"/>
    <mergeCell ref="N110:O110"/>
    <mergeCell ref="N85:P85"/>
    <mergeCell ref="Q85:R85"/>
    <mergeCell ref="N87:P87"/>
    <mergeCell ref="K89:L89"/>
    <mergeCell ref="R95:S95"/>
    <mergeCell ref="N114:O114"/>
    <mergeCell ref="B116:T116"/>
    <mergeCell ref="Q113:R113"/>
    <mergeCell ref="N111:O111"/>
    <mergeCell ref="N112:O112"/>
    <mergeCell ref="N113:O113"/>
    <mergeCell ref="S113:T113"/>
    <mergeCell ref="S110:T110"/>
    <mergeCell ref="P112:T112"/>
    <mergeCell ref="P109:T109"/>
    <mergeCell ref="R97:S97"/>
    <mergeCell ref="O93:Q93"/>
    <mergeCell ref="D114:E114"/>
    <mergeCell ref="J110:K110"/>
    <mergeCell ref="D111:E111"/>
    <mergeCell ref="A107:B108"/>
    <mergeCell ref="H109:I109"/>
    <mergeCell ref="A101:D101"/>
    <mergeCell ref="A105:T105"/>
    <mergeCell ref="B97:D97"/>
    <mergeCell ref="K101:L101"/>
    <mergeCell ref="N95:Q95"/>
    <mergeCell ref="B87:D87"/>
    <mergeCell ref="B93:D93"/>
    <mergeCell ref="P107:T107"/>
    <mergeCell ref="H114:I114"/>
    <mergeCell ref="H101:J101"/>
    <mergeCell ref="N107:O108"/>
    <mergeCell ref="K103:L103"/>
    <mergeCell ref="D109:E109"/>
    <mergeCell ref="A99:T99"/>
    <mergeCell ref="B103:D103"/>
    <mergeCell ref="C107:C108"/>
    <mergeCell ref="D107:E108"/>
    <mergeCell ref="E101:F101"/>
    <mergeCell ref="O97:Q97"/>
    <mergeCell ref="P114:T114"/>
    <mergeCell ref="F114:G114"/>
    <mergeCell ref="H107:I108"/>
    <mergeCell ref="H113:I113"/>
    <mergeCell ref="J112:K112"/>
    <mergeCell ref="J111:K111"/>
    <mergeCell ref="F109:G109"/>
    <mergeCell ref="E71:F71"/>
    <mergeCell ref="N77:Q77"/>
    <mergeCell ref="I39:R39"/>
    <mergeCell ref="F54:J54"/>
    <mergeCell ref="E79:F79"/>
    <mergeCell ref="B79:D79"/>
    <mergeCell ref="A81:T81"/>
    <mergeCell ref="K69:L69"/>
    <mergeCell ref="R71:S71"/>
    <mergeCell ref="R69:S69"/>
    <mergeCell ref="V34:AA38"/>
    <mergeCell ref="K71:L71"/>
    <mergeCell ref="A67:T67"/>
    <mergeCell ref="M46:S46"/>
    <mergeCell ref="N36:O36"/>
    <mergeCell ref="B71:D71"/>
    <mergeCell ref="H36:I36"/>
    <mergeCell ref="P50:S50"/>
    <mergeCell ref="F34:G34"/>
    <mergeCell ref="P52:Q52"/>
    <mergeCell ref="B65:T65"/>
    <mergeCell ref="P54:Q54"/>
    <mergeCell ref="B54:E54"/>
    <mergeCell ref="B58:F58"/>
    <mergeCell ref="C62:S63"/>
    <mergeCell ref="C34:D34"/>
    <mergeCell ref="D46:K46"/>
    <mergeCell ref="F50:G50"/>
    <mergeCell ref="B36:C36"/>
    <mergeCell ref="F60:G60"/>
    <mergeCell ref="L42:O42"/>
    <mergeCell ref="D44:F44"/>
    <mergeCell ref="B69:D69"/>
    <mergeCell ref="H71:J71"/>
    <mergeCell ref="E85:F85"/>
    <mergeCell ref="H89:J89"/>
    <mergeCell ref="K87:L87"/>
    <mergeCell ref="K93:L93"/>
    <mergeCell ref="H85:J85"/>
    <mergeCell ref="B120:R120"/>
    <mergeCell ref="K73:L73"/>
    <mergeCell ref="H73:J73"/>
    <mergeCell ref="H77:J77"/>
    <mergeCell ref="B85:D85"/>
    <mergeCell ref="E89:F89"/>
    <mergeCell ref="Q89:R89"/>
    <mergeCell ref="K79:L79"/>
    <mergeCell ref="I79:J79"/>
    <mergeCell ref="A75:T75"/>
    <mergeCell ref="R77:S77"/>
    <mergeCell ref="R79:S79"/>
    <mergeCell ref="N79:Q79"/>
    <mergeCell ref="E95:F95"/>
    <mergeCell ref="E97:F97"/>
    <mergeCell ref="H97:J97"/>
    <mergeCell ref="E93:F93"/>
    <mergeCell ref="E87:F87"/>
    <mergeCell ref="A91:T91"/>
    <mergeCell ref="B15:I15"/>
    <mergeCell ref="R36:S36"/>
    <mergeCell ref="K36:M36"/>
    <mergeCell ref="S32:T32"/>
    <mergeCell ref="O34:P34"/>
    <mergeCell ref="L34:M34"/>
    <mergeCell ref="Q144:S144"/>
    <mergeCell ref="H124:R124"/>
    <mergeCell ref="H128:I128"/>
    <mergeCell ref="K128:L128"/>
    <mergeCell ref="G58:H58"/>
    <mergeCell ref="F52:J52"/>
    <mergeCell ref="H69:J69"/>
    <mergeCell ref="N71:Q71"/>
    <mergeCell ref="F56:G56"/>
    <mergeCell ref="R73:S73"/>
    <mergeCell ref="K85:L85"/>
    <mergeCell ref="Q83:R83"/>
    <mergeCell ref="Q87:R87"/>
    <mergeCell ref="H95:J95"/>
    <mergeCell ref="H93:J93"/>
    <mergeCell ref="E83:F83"/>
    <mergeCell ref="K83:L83"/>
    <mergeCell ref="I83:J83"/>
  </mergeCells>
  <phoneticPr fontId="17" type="noConversion"/>
  <dataValidations xWindow="236" yWindow="200" count="22">
    <dataValidation type="list" allowBlank="1" showInputMessage="1" sqref="P52:Q52" xr:uid="{00000000-0002-0000-0200-000000000000}">
      <formula1>SHLR</formula1>
    </dataValidation>
    <dataValidation type="list" allowBlank="1" showInputMessage="1" sqref="F60:G61" xr:uid="{00000000-0002-0000-0200-000001000000}">
      <formula1>Slope</formula1>
    </dataValidation>
    <dataValidation type="list" allowBlank="1" showInputMessage="1" sqref="P50" xr:uid="{00000000-0002-0000-0200-000002000000}">
      <formula1>SoilTexture7080</formula1>
    </dataValidation>
    <dataValidation operator="lessThanOrEqual" allowBlank="1" showInputMessage="1" showErrorMessage="1" sqref="G58:H58" xr:uid="{00000000-0002-0000-0200-000003000000}"/>
    <dataValidation type="list" allowBlank="1" showInputMessage="1" showErrorMessage="1" sqref="K28:L28 K26:L26 O15:P15 M21:N21" xr:uid="{00000000-0002-0000-0200-000004000000}">
      <formula1>CLR</formula1>
    </dataValidation>
    <dataValidation allowBlank="1" showInputMessage="1" showErrorMessage="1" promptTitle="Design Summary" prompt="This section will be filled in after the design of each of the components is complete." sqref="B65:T65" xr:uid="{00000000-0002-0000-0200-000005000000}"/>
    <dataValidation allowBlank="1" showInputMessage="1" showErrorMessage="1" promptTitle="Start" prompt="Note:  The estimated design flow is considered a peak flow rate including a safety factor. For long term performance, the average daily flow is recommended to be &lt; 60% of this value." sqref="D9:E9" xr:uid="{00000000-0002-0000-0200-000006000000}"/>
    <dataValidation allowBlank="1" showInputMessage="1" showErrorMessage="1" promptTitle="Start" prompt="Begin worksheet here.  You can hit tab to take you to other cells in the worksheet that require you to input data." sqref="E3" xr:uid="{00000000-0002-0000-0200-000007000000}"/>
    <dataValidation allowBlank="1" showInputMessage="1" showErrorMessage="1" prompt="Enter septic tank capacity only. Pump tank capacity is entered automatically below on Line 1.D" sqref="I21:J21 K15:L15" xr:uid="{00000000-0002-0000-0200-000008000000}"/>
    <dataValidation type="whole" operator="lessThanOrEqual" allowBlank="1" showInputMessage="1" showErrorMessage="1" prompt="Value must be less than or equal to 84 inches for treatment to occur within 7 feet from grade." sqref="F50:G50" xr:uid="{00000000-0002-0000-0200-000009000000}">
      <formula1>84</formula1>
    </dataValidation>
    <dataValidation allowBlank="1" showInputMessage="1" showErrorMessage="1" prompt="Name of registered treatment media." sqref="M46:S46" xr:uid="{00000000-0002-0000-0200-00000A000000}"/>
    <dataValidation allowBlank="1" showInputMessage="1" showErrorMessage="1" prompt="If Estimated Flow is the method used, include the Flow Estimation:Other Establishments worksheet" sqref="Q13:R13" xr:uid="{00000000-0002-0000-0200-00000B000000}"/>
    <dataValidation allowBlank="1" showInputMessage="1" showErrorMessage="1" prompt="If Measured Flow is the method used, include the Measured Flow: Other Establishments worksheet" sqref="K13:L13" xr:uid="{00000000-0002-0000-0200-00000C000000}"/>
    <dataValidation allowBlank="1" showInputMessage="1" showErrorMessage="1" promptTitle="Treatment Level:" prompt="Level C effluent: min separation = 36 inches_x000a_Level B effluent: min separation = 18 inches_x000a_Level A effluent: min separation = 12 inches" sqref="F56:G56" xr:uid="{00000000-0002-0000-0200-00000D000000}"/>
    <dataValidation type="list" allowBlank="1" showInputMessage="1" showErrorMessage="1" sqref="E40:H40" xr:uid="{00000000-0002-0000-0200-00000E000000}">
      <formula1>STA</formula1>
    </dataValidation>
    <dataValidation type="list" allowBlank="1" showInputMessage="1" showErrorMessage="1" sqref="M40:R40" xr:uid="{00000000-0002-0000-0200-00000F000000}">
      <formula1>DistType</formula1>
    </dataValidation>
    <dataValidation type="list" allowBlank="1" showInputMessage="1" showErrorMessage="1" sqref="P11" xr:uid="{00000000-0002-0000-0200-000010000000}">
      <formula1>Nutrients</formula1>
    </dataValidation>
    <dataValidation type="list" allowBlank="1" showInputMessage="1" showErrorMessage="1" sqref="K11:L11" xr:uid="{00000000-0002-0000-0200-000011000000}">
      <formula1>TreatmentLevel</formula1>
    </dataValidation>
    <dataValidation type="list" allowBlank="1" showInputMessage="1" showErrorMessage="1" sqref="E11:G11" xr:uid="{00000000-0002-0000-0200-000012000000}">
      <formula1>TypeOfWastewater</formula1>
    </dataValidation>
    <dataValidation type="list" allowBlank="1" showInputMessage="1" showErrorMessage="1" sqref="D44:F44" xr:uid="{00000000-0002-0000-0200-000013000000}">
      <formula1>MPCAType</formula1>
    </dataValidation>
    <dataValidation allowBlank="1" showInputMessage="1" showErrorMessage="1" promptTitle="MPCA Type Comments" prompt="If the system is a Type III or IV list information on the plan for the installation and/or the treatment device to be used." sqref="D46:K46" xr:uid="{00000000-0002-0000-0200-000014000000}"/>
    <dataValidation type="list" allowBlank="1" showInputMessage="1" showErrorMessage="1" sqref="E19" xr:uid="{00000000-0002-0000-0200-000015000000}">
      <formula1>Gravity_Or_Pressure</formula1>
    </dataValidation>
  </dataValidations>
  <pageMargins left="0.4" right="0.4" top="0.4" bottom="0.4" header="0.4" footer="0.5"/>
  <pageSetup scale="72" fitToHeight="2" orientation="portrait" blackAndWhite="1" r:id="rId3"/>
  <headerFooter alignWithMargins="0"/>
  <rowBreaks count="2" manualBreakCount="2">
    <brk id="74" max="19" man="1"/>
    <brk id="146" max="19" man="1"/>
  </rowBreaks>
  <ignoredErrors>
    <ignoredError sqref="Q144" unlockedFormula="1"/>
  </ignoredError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249879" r:id="rId7" name="Check Box 63639">
              <controlPr defaultSize="0" autoFill="0" autoLine="0" autoPict="0">
                <anchor moveWithCells="1">
                  <from>
                    <xdr:col>15</xdr:col>
                    <xdr:colOff>104775</xdr:colOff>
                    <xdr:row>42</xdr:row>
                    <xdr:rowOff>57150</xdr:rowOff>
                  </from>
                  <to>
                    <xdr:col>18</xdr:col>
                    <xdr:colOff>333375</xdr:colOff>
                    <xdr:row>44</xdr:row>
                    <xdr:rowOff>28575</xdr:rowOff>
                  </to>
                </anchor>
              </controlPr>
            </control>
          </mc:Choice>
        </mc:AlternateContent>
        <mc:AlternateContent xmlns:mc="http://schemas.openxmlformats.org/markup-compatibility/2006">
          <mc:Choice Requires="x14">
            <control shapeId="2249880" r:id="rId8" name="Check Box 63640">
              <controlPr defaultSize="0" autoFill="0" autoLine="0" autoPict="0">
                <anchor moveWithCells="1">
                  <from>
                    <xdr:col>12</xdr:col>
                    <xdr:colOff>19050</xdr:colOff>
                    <xdr:row>42</xdr:row>
                    <xdr:rowOff>57150</xdr:rowOff>
                  </from>
                  <to>
                    <xdr:col>15</xdr:col>
                    <xdr:colOff>9525</xdr:colOff>
                    <xdr:row>44</xdr:row>
                    <xdr:rowOff>28575</xdr:rowOff>
                  </to>
                </anchor>
              </controlPr>
            </control>
          </mc:Choice>
        </mc:AlternateContent>
        <mc:AlternateContent xmlns:mc="http://schemas.openxmlformats.org/markup-compatibility/2006">
          <mc:Choice Requires="x14">
            <control shapeId="2750911" r:id="rId9" name="Check Box 70079">
              <controlPr defaultSize="0" autoFill="0" autoLine="0" autoPict="0">
                <anchor moveWithCells="1">
                  <from>
                    <xdr:col>7</xdr:col>
                    <xdr:colOff>314325</xdr:colOff>
                    <xdr:row>11</xdr:row>
                    <xdr:rowOff>57150</xdr:rowOff>
                  </from>
                  <to>
                    <xdr:col>10</xdr:col>
                    <xdr:colOff>9525</xdr:colOff>
                    <xdr:row>13</xdr:row>
                    <xdr:rowOff>28575</xdr:rowOff>
                  </to>
                </anchor>
              </controlPr>
            </control>
          </mc:Choice>
        </mc:AlternateContent>
        <mc:AlternateContent xmlns:mc="http://schemas.openxmlformats.org/markup-compatibility/2006">
          <mc:Choice Requires="x14">
            <control shapeId="2750912" r:id="rId10" name="Check Box 70080">
              <controlPr defaultSize="0" autoFill="0" autoLine="0" autoPict="0">
                <anchor moveWithCells="1">
                  <from>
                    <xdr:col>13</xdr:col>
                    <xdr:colOff>352425</xdr:colOff>
                    <xdr:row>11</xdr:row>
                    <xdr:rowOff>57150</xdr:rowOff>
                  </from>
                  <to>
                    <xdr:col>16</xdr:col>
                    <xdr:colOff>19050</xdr:colOff>
                    <xdr:row>13</xdr:row>
                    <xdr:rowOff>28575</xdr:rowOff>
                  </to>
                </anchor>
              </controlPr>
            </control>
          </mc:Choice>
        </mc:AlternateContent>
        <mc:AlternateContent xmlns:mc="http://schemas.openxmlformats.org/markup-compatibility/2006">
          <mc:Choice Requires="x14">
            <control shapeId="2750950" r:id="rId11" name="Check Box 70118">
              <controlPr defaultSize="0" autoFill="0" autoLine="0" autoPict="0">
                <anchor moveWithCells="1">
                  <from>
                    <xdr:col>3</xdr:col>
                    <xdr:colOff>409575</xdr:colOff>
                    <xdr:row>21</xdr:row>
                    <xdr:rowOff>57150</xdr:rowOff>
                  </from>
                  <to>
                    <xdr:col>4</xdr:col>
                    <xdr:colOff>342900</xdr:colOff>
                    <xdr:row>23</xdr:row>
                    <xdr:rowOff>28575</xdr:rowOff>
                  </to>
                </anchor>
              </controlPr>
            </control>
          </mc:Choice>
        </mc:AlternateContent>
        <mc:AlternateContent xmlns:mc="http://schemas.openxmlformats.org/markup-compatibility/2006">
          <mc:Choice Requires="x14">
            <control shapeId="2750952" r:id="rId12" name="Check Box 70120">
              <controlPr defaultSize="0" autoFill="0" autoLine="0" autoPict="0">
                <anchor moveWithCells="1">
                  <from>
                    <xdr:col>4</xdr:col>
                    <xdr:colOff>247650</xdr:colOff>
                    <xdr:row>21</xdr:row>
                    <xdr:rowOff>57150</xdr:rowOff>
                  </from>
                  <to>
                    <xdr:col>5</xdr:col>
                    <xdr:colOff>304800</xdr:colOff>
                    <xdr:row>23</xdr:row>
                    <xdr:rowOff>28575</xdr:rowOff>
                  </to>
                </anchor>
              </controlPr>
            </control>
          </mc:Choice>
        </mc:AlternateContent>
        <mc:AlternateContent xmlns:mc="http://schemas.openxmlformats.org/markup-compatibility/2006">
          <mc:Choice Requires="x14">
            <control shapeId="2750960" r:id="rId13" name="Check Box 70128">
              <controlPr defaultSize="0" autoFill="0" autoLine="0" autoPict="0">
                <anchor moveWithCells="1">
                  <from>
                    <xdr:col>5</xdr:col>
                    <xdr:colOff>190500</xdr:colOff>
                    <xdr:row>21</xdr:row>
                    <xdr:rowOff>57150</xdr:rowOff>
                  </from>
                  <to>
                    <xdr:col>7</xdr:col>
                    <xdr:colOff>85725</xdr:colOff>
                    <xdr:row>23</xdr:row>
                    <xdr:rowOff>28575</xdr:rowOff>
                  </to>
                </anchor>
              </controlPr>
            </control>
          </mc:Choice>
        </mc:AlternateContent>
        <mc:AlternateContent xmlns:mc="http://schemas.openxmlformats.org/markup-compatibility/2006">
          <mc:Choice Requires="x14">
            <control shapeId="2918503" r:id="rId14" name="Check Box 73831">
              <controlPr defaultSize="0" autoFill="0" autoLine="0" autoPict="0">
                <anchor moveWithCells="1">
                  <from>
                    <xdr:col>17</xdr:col>
                    <xdr:colOff>19050</xdr:colOff>
                    <xdr:row>54</xdr:row>
                    <xdr:rowOff>57150</xdr:rowOff>
                  </from>
                  <to>
                    <xdr:col>18</xdr:col>
                    <xdr:colOff>76200</xdr:colOff>
                    <xdr:row>56</xdr:row>
                    <xdr:rowOff>28575</xdr:rowOff>
                  </to>
                </anchor>
              </controlPr>
            </control>
          </mc:Choice>
        </mc:AlternateContent>
        <mc:AlternateContent xmlns:mc="http://schemas.openxmlformats.org/markup-compatibility/2006">
          <mc:Choice Requires="x14">
            <control shapeId="2918505" r:id="rId15" name="Check Box 73833">
              <controlPr defaultSize="0" autoFill="0" autoLine="0" autoPict="0">
                <anchor moveWithCells="1">
                  <from>
                    <xdr:col>18</xdr:col>
                    <xdr:colOff>28575</xdr:colOff>
                    <xdr:row>54</xdr:row>
                    <xdr:rowOff>57150</xdr:rowOff>
                  </from>
                  <to>
                    <xdr:col>19</xdr:col>
                    <xdr:colOff>85725</xdr:colOff>
                    <xdr:row>56</xdr:row>
                    <xdr:rowOff>28575</xdr:rowOff>
                  </to>
                </anchor>
              </controlPr>
            </control>
          </mc:Choice>
        </mc:AlternateContent>
        <mc:AlternateContent xmlns:mc="http://schemas.openxmlformats.org/markup-compatibility/2006">
          <mc:Choice Requires="x14">
            <control shapeId="2918506" r:id="rId16" name="Check Box 73834">
              <controlPr defaultSize="0" autoFill="0" autoLine="0" autoPict="0">
                <anchor moveWithCells="1">
                  <from>
                    <xdr:col>7</xdr:col>
                    <xdr:colOff>0</xdr:colOff>
                    <xdr:row>21</xdr:row>
                    <xdr:rowOff>57150</xdr:rowOff>
                  </from>
                  <to>
                    <xdr:col>9</xdr:col>
                    <xdr:colOff>85725</xdr:colOff>
                    <xdr:row>23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0">
    <tabColor theme="9" tint="0.59999389629810485"/>
    <pageSetUpPr fitToPage="1"/>
  </sheetPr>
  <dimension ref="A1:AJ50"/>
  <sheetViews>
    <sheetView zoomScaleNormal="100" zoomScaleSheetLayoutView="100" workbookViewId="0">
      <selection activeCell="AG43" sqref="AG43:AJ43"/>
    </sheetView>
  </sheetViews>
  <sheetFormatPr defaultColWidth="11.42578125" defaultRowHeight="15"/>
  <cols>
    <col min="1" max="10" width="2.7109375" style="450" customWidth="1"/>
    <col min="11" max="11" width="2.85546875" style="450" customWidth="1"/>
    <col min="12" max="36" width="2.7109375" style="450" customWidth="1"/>
    <col min="37" max="16384" width="11.42578125" style="450"/>
  </cols>
  <sheetData>
    <row r="1" spans="1:36" ht="63.75" customHeight="1" thickBot="1">
      <c r="A1" s="1206" t="s">
        <v>944</v>
      </c>
      <c r="B1" s="1206"/>
      <c r="C1" s="1206"/>
      <c r="D1" s="1206"/>
      <c r="E1" s="1206"/>
      <c r="F1" s="1206"/>
      <c r="G1" s="1206"/>
      <c r="H1" s="1206"/>
      <c r="I1" s="1206"/>
      <c r="J1" s="1206"/>
      <c r="K1" s="1206"/>
      <c r="L1" s="1206"/>
      <c r="M1" s="1206"/>
      <c r="N1" s="1206"/>
      <c r="O1" s="1206"/>
      <c r="P1" s="1206"/>
      <c r="Q1" s="1206"/>
      <c r="R1" s="1206"/>
      <c r="S1" s="1206"/>
      <c r="T1" s="1206"/>
      <c r="U1" s="1206"/>
      <c r="V1" s="1206"/>
      <c r="W1" s="1206"/>
      <c r="X1" s="1206"/>
      <c r="Y1" s="1206"/>
      <c r="Z1" s="1206"/>
      <c r="AA1" s="1206"/>
      <c r="AB1" s="1206"/>
      <c r="AC1" s="1206"/>
      <c r="AD1" s="1206"/>
      <c r="AE1" s="1206"/>
      <c r="AF1" s="1206"/>
      <c r="AG1" s="1206"/>
      <c r="AH1" s="1206"/>
      <c r="AI1" s="1206"/>
      <c r="AJ1" s="1206"/>
    </row>
    <row r="2" spans="1:36" ht="15.6" customHeight="1">
      <c r="A2" s="1207" t="s">
        <v>932</v>
      </c>
      <c r="B2" s="1208"/>
      <c r="C2" s="1208"/>
      <c r="D2" s="1208"/>
      <c r="E2" s="1208"/>
      <c r="F2" s="1208"/>
      <c r="G2" s="1208"/>
      <c r="H2" s="1208"/>
      <c r="I2" s="1208"/>
      <c r="J2" s="1208"/>
      <c r="K2" s="1208"/>
      <c r="L2" s="1208"/>
      <c r="M2" s="1208"/>
      <c r="N2" s="556"/>
      <c r="O2" s="1209" t="s">
        <v>831</v>
      </c>
      <c r="P2" s="1209"/>
      <c r="Q2" s="1209"/>
      <c r="R2" s="1209"/>
      <c r="S2" s="1209"/>
      <c r="T2" s="1210" t="s">
        <v>501</v>
      </c>
      <c r="U2" s="1210"/>
      <c r="V2" s="1210"/>
      <c r="W2" s="1210"/>
      <c r="X2" s="556"/>
      <c r="Y2" s="556"/>
      <c r="Z2" s="556"/>
      <c r="AA2" s="556"/>
      <c r="AB2" s="556"/>
      <c r="AC2" s="556"/>
      <c r="AD2" s="556"/>
      <c r="AE2" s="556"/>
      <c r="AF2" s="556"/>
      <c r="AG2" s="1211" t="str">
        <f>'Drop-Down Lists'!J40</f>
        <v>v 04.20.2016</v>
      </c>
      <c r="AH2" s="1211"/>
      <c r="AI2" s="1211"/>
      <c r="AJ2" s="1212"/>
    </row>
    <row r="3" spans="1:36" ht="3.95" customHeight="1">
      <c r="A3" s="557"/>
      <c r="B3" s="482"/>
      <c r="C3" s="482"/>
      <c r="D3" s="558"/>
      <c r="E3" s="558"/>
      <c r="F3" s="558"/>
      <c r="G3" s="558"/>
      <c r="H3" s="558"/>
      <c r="I3" s="558"/>
      <c r="J3" s="559"/>
      <c r="K3" s="559"/>
      <c r="L3" s="559"/>
      <c r="M3" s="559"/>
      <c r="N3" s="559"/>
      <c r="O3" s="559"/>
      <c r="P3" s="559"/>
      <c r="Q3" s="560"/>
      <c r="R3" s="560"/>
      <c r="S3" s="560"/>
      <c r="T3" s="560"/>
      <c r="U3" s="560"/>
      <c r="V3" s="560"/>
      <c r="W3" s="560"/>
      <c r="X3" s="560"/>
      <c r="Y3" s="560"/>
      <c r="Z3" s="560"/>
      <c r="AA3" s="560"/>
      <c r="AB3" s="560"/>
      <c r="AJ3" s="474"/>
    </row>
    <row r="4" spans="1:36" ht="28.15" customHeight="1">
      <c r="A4" s="1216" t="s">
        <v>38</v>
      </c>
      <c r="B4" s="1217"/>
      <c r="C4" s="1217"/>
      <c r="D4" s="1217"/>
      <c r="E4" s="1217"/>
      <c r="F4" s="1217"/>
      <c r="G4" s="1217"/>
      <c r="H4" s="1217"/>
      <c r="I4" s="1218" t="s">
        <v>44</v>
      </c>
      <c r="J4" s="1219"/>
      <c r="K4" s="1219"/>
      <c r="L4" s="1219"/>
      <c r="M4" s="1219"/>
      <c r="N4" s="1219"/>
      <c r="O4" s="1219"/>
      <c r="P4" s="1219"/>
      <c r="Q4" s="1219"/>
      <c r="R4" s="1219"/>
      <c r="S4" s="1219"/>
      <c r="T4" s="1219"/>
      <c r="U4" s="1219"/>
      <c r="V4" s="1219"/>
      <c r="W4" s="1219"/>
      <c r="X4" s="1219"/>
      <c r="Y4" s="1219"/>
      <c r="Z4" s="1219"/>
      <c r="AA4" s="1219"/>
      <c r="AB4" s="1219"/>
      <c r="AC4" s="1219"/>
      <c r="AD4" s="1219"/>
      <c r="AE4" s="1219"/>
      <c r="AF4" s="1219"/>
      <c r="AG4" s="1219"/>
      <c r="AH4" s="1219"/>
      <c r="AI4" s="1219"/>
      <c r="AJ4" s="1220"/>
    </row>
    <row r="5" spans="1:36" ht="3.95" customHeight="1">
      <c r="A5" s="519"/>
      <c r="AJ5" s="474"/>
    </row>
    <row r="6" spans="1:36" ht="15.95" customHeight="1">
      <c r="A6" s="1221" t="s">
        <v>933</v>
      </c>
      <c r="B6" s="1222"/>
      <c r="C6" s="1223"/>
      <c r="D6" s="1223"/>
      <c r="E6" s="1223"/>
      <c r="F6" s="1223"/>
      <c r="G6" s="1223"/>
      <c r="H6" s="1223"/>
      <c r="I6" s="1224" t="s">
        <v>44</v>
      </c>
      <c r="J6" s="1219"/>
      <c r="K6" s="1219"/>
      <c r="L6" s="1219"/>
      <c r="M6" s="1219"/>
      <c r="N6" s="1219"/>
      <c r="O6" s="1219"/>
      <c r="P6" s="1219"/>
      <c r="Q6" s="1219"/>
      <c r="R6" s="1219"/>
      <c r="S6" s="1219"/>
      <c r="T6" s="1219"/>
      <c r="U6" s="1219"/>
      <c r="V6" s="1219"/>
      <c r="W6" s="1219"/>
      <c r="X6" s="1219"/>
      <c r="Y6" s="1219"/>
      <c r="Z6" s="1219"/>
      <c r="AA6" s="1219"/>
      <c r="AB6" s="1219"/>
      <c r="AC6" s="1219"/>
      <c r="AD6" s="1219"/>
      <c r="AE6" s="1219"/>
      <c r="AF6" s="1219"/>
      <c r="AG6" s="1219"/>
      <c r="AH6" s="1219"/>
      <c r="AI6" s="1219"/>
      <c r="AJ6" s="1220"/>
    </row>
    <row r="7" spans="1:36" ht="3.95" customHeight="1" thickBot="1">
      <c r="A7" s="587"/>
      <c r="B7" s="588"/>
      <c r="C7" s="589"/>
      <c r="D7" s="589"/>
      <c r="E7" s="589"/>
      <c r="F7" s="589"/>
      <c r="G7" s="589"/>
      <c r="H7" s="589"/>
      <c r="I7" s="590"/>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2"/>
    </row>
    <row r="8" spans="1:36">
      <c r="A8" s="584"/>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6"/>
    </row>
    <row r="9" spans="1:36">
      <c r="A9" s="561"/>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3"/>
    </row>
    <row r="10" spans="1:36">
      <c r="A10" s="561"/>
      <c r="B10" s="562"/>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3"/>
    </row>
    <row r="11" spans="1:36">
      <c r="A11" s="561"/>
      <c r="B11" s="562"/>
      <c r="C11" s="562"/>
      <c r="D11" s="562"/>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3"/>
    </row>
    <row r="12" spans="1:36">
      <c r="A12" s="561"/>
      <c r="B12" s="562"/>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3"/>
    </row>
    <row r="13" spans="1:36">
      <c r="A13" s="561"/>
      <c r="B13" s="562"/>
      <c r="C13" s="562"/>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3"/>
    </row>
    <row r="14" spans="1:36">
      <c r="A14" s="561"/>
      <c r="B14" s="562"/>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3"/>
    </row>
    <row r="15" spans="1:36">
      <c r="A15" s="561"/>
      <c r="B15" s="562"/>
      <c r="C15" s="562"/>
      <c r="D15" s="562"/>
      <c r="E15" s="562"/>
      <c r="F15" s="562"/>
      <c r="G15" s="562"/>
      <c r="H15" s="562"/>
      <c r="I15" s="562"/>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3"/>
    </row>
    <row r="16" spans="1:36">
      <c r="A16" s="561"/>
      <c r="B16" s="562"/>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3"/>
    </row>
    <row r="17" spans="1:36">
      <c r="A17" s="561"/>
      <c r="B17" s="562"/>
      <c r="C17" s="562"/>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6">
      <c r="A18" s="561"/>
      <c r="B18" s="562"/>
      <c r="C18" s="562"/>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3"/>
    </row>
    <row r="19" spans="1:36">
      <c r="A19" s="561"/>
      <c r="B19" s="562"/>
      <c r="C19" s="562"/>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3"/>
    </row>
    <row r="20" spans="1:36">
      <c r="A20" s="561"/>
      <c r="B20" s="562"/>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36">
      <c r="A21" s="56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3"/>
    </row>
    <row r="22" spans="1:36">
      <c r="A22" s="56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3"/>
    </row>
    <row r="23" spans="1:36">
      <c r="A23" s="56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36">
      <c r="A24" s="561"/>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3"/>
    </row>
    <row r="25" spans="1:36">
      <c r="A25" s="561"/>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3"/>
    </row>
    <row r="26" spans="1:36">
      <c r="A26" s="561"/>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3"/>
    </row>
    <row r="27" spans="1:36">
      <c r="A27" s="561"/>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3"/>
    </row>
    <row r="28" spans="1:36">
      <c r="A28" s="564"/>
      <c r="B28" s="565"/>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6"/>
    </row>
    <row r="29" spans="1:36" ht="6" customHeight="1"/>
    <row r="30" spans="1:36">
      <c r="A30" s="450" t="s">
        <v>934</v>
      </c>
      <c r="K30" s="1225"/>
      <c r="L30" s="1226"/>
      <c r="M30" s="1226"/>
      <c r="N30" s="1226"/>
      <c r="O30" s="1226"/>
      <c r="P30" s="1226"/>
      <c r="Q30" s="1226"/>
      <c r="R30" s="1226"/>
      <c r="S30" s="1226"/>
      <c r="T30" s="1226"/>
      <c r="U30" s="1226"/>
      <c r="V30" s="1226"/>
      <c r="W30" s="1226"/>
      <c r="X30" s="1226"/>
      <c r="Y30" s="1226"/>
      <c r="Z30" s="1226"/>
      <c r="AA30" s="1226"/>
      <c r="AB30" s="1226"/>
      <c r="AC30" s="1226"/>
      <c r="AD30" s="1226"/>
      <c r="AE30" s="1226"/>
      <c r="AF30" s="1226"/>
      <c r="AG30" s="1227"/>
      <c r="AH30" s="1227"/>
      <c r="AI30" s="1227"/>
      <c r="AJ30" s="1228"/>
    </row>
    <row r="31" spans="1:36">
      <c r="K31" s="1229"/>
      <c r="L31" s="1230"/>
      <c r="M31" s="1230"/>
      <c r="N31" s="1230"/>
      <c r="O31" s="1230"/>
      <c r="P31" s="1230"/>
      <c r="Q31" s="1230"/>
      <c r="R31" s="1230"/>
      <c r="S31" s="1230"/>
      <c r="T31" s="1230"/>
      <c r="U31" s="1230"/>
      <c r="V31" s="1230"/>
      <c r="W31" s="1230"/>
      <c r="X31" s="1230"/>
      <c r="Y31" s="1230"/>
      <c r="Z31" s="1230"/>
      <c r="AA31" s="1230"/>
      <c r="AB31" s="1230"/>
      <c r="AC31" s="1230"/>
      <c r="AD31" s="1230"/>
      <c r="AE31" s="1230"/>
      <c r="AF31" s="1230"/>
      <c r="AG31" s="1230"/>
      <c r="AH31" s="1230"/>
      <c r="AI31" s="1230"/>
      <c r="AJ31" s="1231"/>
    </row>
    <row r="32" spans="1:36">
      <c r="K32" s="1232"/>
      <c r="L32" s="1233"/>
      <c r="M32" s="1233"/>
      <c r="N32" s="1233"/>
      <c r="O32" s="1233"/>
      <c r="P32" s="1233"/>
      <c r="Q32" s="1233"/>
      <c r="R32" s="1233"/>
      <c r="S32" s="1233"/>
      <c r="T32" s="1233"/>
      <c r="U32" s="1233"/>
      <c r="V32" s="1233"/>
      <c r="W32" s="1233"/>
      <c r="X32" s="1233"/>
      <c r="Y32" s="1233"/>
      <c r="Z32" s="1233"/>
      <c r="AA32" s="1233"/>
      <c r="AB32" s="1233"/>
      <c r="AC32" s="1233"/>
      <c r="AD32" s="1233"/>
      <c r="AE32" s="1233"/>
      <c r="AF32" s="1233"/>
      <c r="AG32" s="1233"/>
      <c r="AH32" s="1233"/>
      <c r="AI32" s="1233"/>
      <c r="AJ32" s="1234"/>
    </row>
    <row r="33" spans="1:36" ht="7.5" customHeight="1"/>
    <row r="34" spans="1:36">
      <c r="A34" s="567" t="s">
        <v>935</v>
      </c>
      <c r="B34" s="567"/>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8"/>
      <c r="AH34" s="568"/>
      <c r="AI34" s="568"/>
      <c r="AJ34" s="568"/>
    </row>
    <row r="35" spans="1:36" ht="9.75" customHeight="1">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row>
    <row r="36" spans="1:36">
      <c r="A36" s="450" t="s">
        <v>936</v>
      </c>
      <c r="E36" s="569"/>
      <c r="F36" s="569"/>
      <c r="G36" s="569"/>
      <c r="H36" s="569"/>
      <c r="I36" s="569"/>
      <c r="J36" s="569"/>
      <c r="M36" s="569"/>
      <c r="N36" s="450" t="s">
        <v>937</v>
      </c>
      <c r="T36" s="569"/>
      <c r="U36" s="450" t="s">
        <v>938</v>
      </c>
      <c r="Y36" s="569"/>
      <c r="Z36" s="569"/>
      <c r="AA36" s="450" t="s">
        <v>939</v>
      </c>
      <c r="AE36" s="569"/>
    </row>
    <row r="38" spans="1:36">
      <c r="A38" s="473" t="s">
        <v>940</v>
      </c>
      <c r="O38" s="473" t="s">
        <v>941</v>
      </c>
      <c r="V38" s="473" t="s">
        <v>942</v>
      </c>
      <c r="AE38" s="473" t="s">
        <v>945</v>
      </c>
    </row>
    <row r="39" spans="1:36" ht="15" customHeight="1">
      <c r="P39" s="473"/>
      <c r="Q39" s="473"/>
      <c r="R39" s="473"/>
      <c r="AE39" s="450" t="s">
        <v>946</v>
      </c>
    </row>
    <row r="40" spans="1:36" ht="15" customHeight="1">
      <c r="AE40" s="450" t="s">
        <v>947</v>
      </c>
      <c r="AG40" s="1213"/>
      <c r="AH40" s="1214"/>
      <c r="AI40" s="1214"/>
      <c r="AJ40" s="1215"/>
    </row>
    <row r="41" spans="1:36" ht="15" customHeight="1">
      <c r="AE41" s="450" t="s">
        <v>948</v>
      </c>
      <c r="AG41" s="1213"/>
      <c r="AH41" s="1214"/>
      <c r="AI41" s="1214"/>
      <c r="AJ41" s="1215"/>
    </row>
    <row r="42" spans="1:36" ht="15" customHeight="1">
      <c r="AE42" s="450" t="s">
        <v>949</v>
      </c>
      <c r="AG42" s="1213"/>
      <c r="AH42" s="1214"/>
      <c r="AI42" s="1214"/>
      <c r="AJ42" s="1215"/>
    </row>
    <row r="43" spans="1:36" ht="15" customHeight="1">
      <c r="O43" s="473" t="s">
        <v>943</v>
      </c>
      <c r="AE43" s="450" t="s">
        <v>950</v>
      </c>
      <c r="AG43" s="1213"/>
      <c r="AH43" s="1214"/>
      <c r="AI43" s="1214"/>
      <c r="AJ43" s="1215"/>
    </row>
    <row r="44" spans="1:36" ht="15" customHeight="1">
      <c r="AE44" s="450" t="s">
        <v>951</v>
      </c>
    </row>
    <row r="45" spans="1:36" ht="15" customHeight="1">
      <c r="AE45" s="450" t="s">
        <v>952</v>
      </c>
      <c r="AG45" s="1213"/>
      <c r="AH45" s="1214"/>
      <c r="AI45" s="1214"/>
      <c r="AJ45" s="1215"/>
    </row>
    <row r="46" spans="1:36" ht="15" customHeight="1">
      <c r="AE46" s="450" t="s">
        <v>953</v>
      </c>
      <c r="AG46" s="1213"/>
      <c r="AH46" s="1214"/>
      <c r="AI46" s="1214"/>
      <c r="AJ46" s="1215"/>
    </row>
    <row r="47" spans="1:36" ht="15" customHeight="1">
      <c r="AE47" s="450" t="s">
        <v>954</v>
      </c>
      <c r="AG47" s="1213"/>
      <c r="AH47" s="1214"/>
      <c r="AI47" s="1214"/>
      <c r="AJ47" s="1215"/>
    </row>
    <row r="48" spans="1:36" ht="15" customHeight="1">
      <c r="AE48" s="450" t="s">
        <v>955</v>
      </c>
    </row>
    <row r="49" spans="33:36">
      <c r="AG49" s="1213"/>
      <c r="AH49" s="1214"/>
      <c r="AI49" s="1214"/>
      <c r="AJ49" s="1215"/>
    </row>
    <row r="50" spans="33:36" ht="6.6" customHeight="1"/>
  </sheetData>
  <sheetProtection sheet="1"/>
  <customSheetViews>
    <customSheetView guid="{D1431318-1DB8-4C45-813B-5A8065DFC797}" fitToPage="1">
      <selection activeCell="AB51" sqref="AB51"/>
      <pageMargins left="0.4" right="0.4" top="0.4" bottom="0.4" header="0.5" footer="0.5"/>
      <pageSetup orientation="portrait" blackAndWhite="1" r:id="rId1"/>
      <headerFooter alignWithMargins="0"/>
    </customSheetView>
  </customSheetViews>
  <mergeCells count="18">
    <mergeCell ref="AG49:AJ49"/>
    <mergeCell ref="AG42:AJ42"/>
    <mergeCell ref="A4:H4"/>
    <mergeCell ref="I4:AJ4"/>
    <mergeCell ref="AG43:AJ43"/>
    <mergeCell ref="AG45:AJ45"/>
    <mergeCell ref="AG46:AJ46"/>
    <mergeCell ref="AG47:AJ47"/>
    <mergeCell ref="A6:H6"/>
    <mergeCell ref="I6:AJ6"/>
    <mergeCell ref="K30:AJ32"/>
    <mergeCell ref="AG40:AJ40"/>
    <mergeCell ref="AG41:AJ41"/>
    <mergeCell ref="A1:AJ1"/>
    <mergeCell ref="A2:M2"/>
    <mergeCell ref="O2:S2"/>
    <mergeCell ref="T2:W2"/>
    <mergeCell ref="AG2:AJ2"/>
  </mergeCells>
  <pageMargins left="0.4" right="0.4" top="0.4" bottom="0.4" header="0.5" footer="0.5"/>
  <pageSetup scale="96" orientation="portrait" blackAndWhite="1"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550646" r:id="rId5" name="Check Box 1910">
              <controlPr defaultSize="0" autoFill="0" autoLine="0" autoPict="0">
                <anchor moveWithCells="1" sizeWithCells="1">
                  <from>
                    <xdr:col>0</xdr:col>
                    <xdr:colOff>0</xdr:colOff>
                    <xdr:row>38</xdr:row>
                    <xdr:rowOff>0</xdr:rowOff>
                  </from>
                  <to>
                    <xdr:col>12</xdr:col>
                    <xdr:colOff>171450</xdr:colOff>
                    <xdr:row>39</xdr:row>
                    <xdr:rowOff>28575</xdr:rowOff>
                  </to>
                </anchor>
              </controlPr>
            </control>
          </mc:Choice>
        </mc:AlternateContent>
        <mc:AlternateContent xmlns:mc="http://schemas.openxmlformats.org/markup-compatibility/2006">
          <mc:Choice Requires="x14">
            <control shapeId="2550647" r:id="rId6" name="Check Box 1911">
              <controlPr defaultSize="0" autoFill="0" autoLine="0" autoPict="0">
                <anchor moveWithCells="1" sizeWithCells="1">
                  <from>
                    <xdr:col>0</xdr:col>
                    <xdr:colOff>0</xdr:colOff>
                    <xdr:row>39</xdr:row>
                    <xdr:rowOff>57150</xdr:rowOff>
                  </from>
                  <to>
                    <xdr:col>12</xdr:col>
                    <xdr:colOff>171450</xdr:colOff>
                    <xdr:row>40</xdr:row>
                    <xdr:rowOff>85725</xdr:rowOff>
                  </to>
                </anchor>
              </controlPr>
            </control>
          </mc:Choice>
        </mc:AlternateContent>
        <mc:AlternateContent xmlns:mc="http://schemas.openxmlformats.org/markup-compatibility/2006">
          <mc:Choice Requires="x14">
            <control shapeId="2550648" r:id="rId7" name="Check Box 1912">
              <controlPr defaultSize="0" autoFill="0" autoLine="0" autoPict="0">
                <anchor moveWithCells="1" sizeWithCells="1">
                  <from>
                    <xdr:col>0</xdr:col>
                    <xdr:colOff>0</xdr:colOff>
                    <xdr:row>40</xdr:row>
                    <xdr:rowOff>114300</xdr:rowOff>
                  </from>
                  <to>
                    <xdr:col>12</xdr:col>
                    <xdr:colOff>171450</xdr:colOff>
                    <xdr:row>41</xdr:row>
                    <xdr:rowOff>142875</xdr:rowOff>
                  </to>
                </anchor>
              </controlPr>
            </control>
          </mc:Choice>
        </mc:AlternateContent>
        <mc:AlternateContent xmlns:mc="http://schemas.openxmlformats.org/markup-compatibility/2006">
          <mc:Choice Requires="x14">
            <control shapeId="2550649" r:id="rId8" name="Check Box 1913">
              <controlPr defaultSize="0" autoFill="0" autoLine="0" autoPict="0">
                <anchor moveWithCells="1" sizeWithCells="1">
                  <from>
                    <xdr:col>0</xdr:col>
                    <xdr:colOff>0</xdr:colOff>
                    <xdr:row>41</xdr:row>
                    <xdr:rowOff>171450</xdr:rowOff>
                  </from>
                  <to>
                    <xdr:col>12</xdr:col>
                    <xdr:colOff>171450</xdr:colOff>
                    <xdr:row>43</xdr:row>
                    <xdr:rowOff>9525</xdr:rowOff>
                  </to>
                </anchor>
              </controlPr>
            </control>
          </mc:Choice>
        </mc:AlternateContent>
        <mc:AlternateContent xmlns:mc="http://schemas.openxmlformats.org/markup-compatibility/2006">
          <mc:Choice Requires="x14">
            <control shapeId="2550650" r:id="rId9" name="Check Box 1914">
              <controlPr defaultSize="0" autoFill="0" autoLine="0" autoPict="0">
                <anchor moveWithCells="1" sizeWithCells="1">
                  <from>
                    <xdr:col>0</xdr:col>
                    <xdr:colOff>0</xdr:colOff>
                    <xdr:row>43</xdr:row>
                    <xdr:rowOff>38100</xdr:rowOff>
                  </from>
                  <to>
                    <xdr:col>12</xdr:col>
                    <xdr:colOff>171450</xdr:colOff>
                    <xdr:row>44</xdr:row>
                    <xdr:rowOff>66675</xdr:rowOff>
                  </to>
                </anchor>
              </controlPr>
            </control>
          </mc:Choice>
        </mc:AlternateContent>
        <mc:AlternateContent xmlns:mc="http://schemas.openxmlformats.org/markup-compatibility/2006">
          <mc:Choice Requires="x14">
            <control shapeId="2550651" r:id="rId10" name="Check Box 1915">
              <controlPr defaultSize="0" autoFill="0" autoLine="0" autoPict="0">
                <anchor moveWithCells="1" sizeWithCells="1">
                  <from>
                    <xdr:col>0</xdr:col>
                    <xdr:colOff>0</xdr:colOff>
                    <xdr:row>44</xdr:row>
                    <xdr:rowOff>95250</xdr:rowOff>
                  </from>
                  <to>
                    <xdr:col>12</xdr:col>
                    <xdr:colOff>171450</xdr:colOff>
                    <xdr:row>45</xdr:row>
                    <xdr:rowOff>123825</xdr:rowOff>
                  </to>
                </anchor>
              </controlPr>
            </control>
          </mc:Choice>
        </mc:AlternateContent>
        <mc:AlternateContent xmlns:mc="http://schemas.openxmlformats.org/markup-compatibility/2006">
          <mc:Choice Requires="x14">
            <control shapeId="2550652" r:id="rId11" name="Check Box 1916">
              <controlPr defaultSize="0" autoFill="0" autoLine="0" autoPict="0">
                <anchor moveWithCells="1" sizeWithCells="1">
                  <from>
                    <xdr:col>0</xdr:col>
                    <xdr:colOff>0</xdr:colOff>
                    <xdr:row>45</xdr:row>
                    <xdr:rowOff>152400</xdr:rowOff>
                  </from>
                  <to>
                    <xdr:col>12</xdr:col>
                    <xdr:colOff>171450</xdr:colOff>
                    <xdr:row>46</xdr:row>
                    <xdr:rowOff>180975</xdr:rowOff>
                  </to>
                </anchor>
              </controlPr>
            </control>
          </mc:Choice>
        </mc:AlternateContent>
        <mc:AlternateContent xmlns:mc="http://schemas.openxmlformats.org/markup-compatibility/2006">
          <mc:Choice Requires="x14">
            <control shapeId="2550653" r:id="rId12" name="Check Box 1917">
              <controlPr defaultSize="0" autoFill="0" autoLine="0" autoPict="0">
                <anchor moveWithCells="1" sizeWithCells="1">
                  <from>
                    <xdr:col>0</xdr:col>
                    <xdr:colOff>0</xdr:colOff>
                    <xdr:row>47</xdr:row>
                    <xdr:rowOff>19050</xdr:rowOff>
                  </from>
                  <to>
                    <xdr:col>12</xdr:col>
                    <xdr:colOff>171450</xdr:colOff>
                    <xdr:row>48</xdr:row>
                    <xdr:rowOff>47625</xdr:rowOff>
                  </to>
                </anchor>
              </controlPr>
            </control>
          </mc:Choice>
        </mc:AlternateContent>
        <mc:AlternateContent xmlns:mc="http://schemas.openxmlformats.org/markup-compatibility/2006">
          <mc:Choice Requires="x14">
            <control shapeId="2550654" r:id="rId13" name="Check Box 1918">
              <controlPr defaultSize="0" autoFill="0" autoLine="0" autoPict="0">
                <anchor moveWithCells="1" sizeWithCells="1">
                  <from>
                    <xdr:col>14</xdr:col>
                    <xdr:colOff>0</xdr:colOff>
                    <xdr:row>38</xdr:row>
                    <xdr:rowOff>47625</xdr:rowOff>
                  </from>
                  <to>
                    <xdr:col>22</xdr:col>
                    <xdr:colOff>171450</xdr:colOff>
                    <xdr:row>39</xdr:row>
                    <xdr:rowOff>76200</xdr:rowOff>
                  </to>
                </anchor>
              </controlPr>
            </control>
          </mc:Choice>
        </mc:AlternateContent>
        <mc:AlternateContent xmlns:mc="http://schemas.openxmlformats.org/markup-compatibility/2006">
          <mc:Choice Requires="x14">
            <control shapeId="2550655" r:id="rId14" name="Check Box 1919">
              <controlPr defaultSize="0" autoFill="0" autoLine="0" autoPict="0">
                <anchor moveWithCells="1" sizeWithCells="1">
                  <from>
                    <xdr:col>14</xdr:col>
                    <xdr:colOff>0</xdr:colOff>
                    <xdr:row>39</xdr:row>
                    <xdr:rowOff>104775</xdr:rowOff>
                  </from>
                  <to>
                    <xdr:col>23</xdr:col>
                    <xdr:colOff>9525</xdr:colOff>
                    <xdr:row>40</xdr:row>
                    <xdr:rowOff>133350</xdr:rowOff>
                  </to>
                </anchor>
              </controlPr>
            </control>
          </mc:Choice>
        </mc:AlternateContent>
        <mc:AlternateContent xmlns:mc="http://schemas.openxmlformats.org/markup-compatibility/2006">
          <mc:Choice Requires="x14">
            <control shapeId="2550656" r:id="rId15" name="Check Box 1920">
              <controlPr defaultSize="0" autoFill="0" autoLine="0" autoPict="0">
                <anchor moveWithCells="1" sizeWithCells="1">
                  <from>
                    <xdr:col>14</xdr:col>
                    <xdr:colOff>0</xdr:colOff>
                    <xdr:row>40</xdr:row>
                    <xdr:rowOff>161925</xdr:rowOff>
                  </from>
                  <to>
                    <xdr:col>22</xdr:col>
                    <xdr:colOff>171450</xdr:colOff>
                    <xdr:row>42</xdr:row>
                    <xdr:rowOff>0</xdr:rowOff>
                  </to>
                </anchor>
              </controlPr>
            </control>
          </mc:Choice>
        </mc:AlternateContent>
        <mc:AlternateContent xmlns:mc="http://schemas.openxmlformats.org/markup-compatibility/2006">
          <mc:Choice Requires="x14">
            <control shapeId="2550657" r:id="rId16" name="Check Box 1921">
              <controlPr defaultSize="0" autoFill="0" autoLine="0" autoPict="0">
                <anchor moveWithCells="1" sizeWithCells="1">
                  <from>
                    <xdr:col>14</xdr:col>
                    <xdr:colOff>0</xdr:colOff>
                    <xdr:row>43</xdr:row>
                    <xdr:rowOff>47625</xdr:rowOff>
                  </from>
                  <to>
                    <xdr:col>23</xdr:col>
                    <xdr:colOff>161925</xdr:colOff>
                    <xdr:row>44</xdr:row>
                    <xdr:rowOff>76200</xdr:rowOff>
                  </to>
                </anchor>
              </controlPr>
            </control>
          </mc:Choice>
        </mc:AlternateContent>
        <mc:AlternateContent xmlns:mc="http://schemas.openxmlformats.org/markup-compatibility/2006">
          <mc:Choice Requires="x14">
            <control shapeId="2550658" r:id="rId17" name="Check Box 1922">
              <controlPr defaultSize="0" autoFill="0" autoLine="0" autoPict="0">
                <anchor moveWithCells="1" sizeWithCells="1">
                  <from>
                    <xdr:col>14</xdr:col>
                    <xdr:colOff>0</xdr:colOff>
                    <xdr:row>44</xdr:row>
                    <xdr:rowOff>104775</xdr:rowOff>
                  </from>
                  <to>
                    <xdr:col>27</xdr:col>
                    <xdr:colOff>0</xdr:colOff>
                    <xdr:row>45</xdr:row>
                    <xdr:rowOff>133350</xdr:rowOff>
                  </to>
                </anchor>
              </controlPr>
            </control>
          </mc:Choice>
        </mc:AlternateContent>
        <mc:AlternateContent xmlns:mc="http://schemas.openxmlformats.org/markup-compatibility/2006">
          <mc:Choice Requires="x14">
            <control shapeId="2550659" r:id="rId18" name="Check Box 1923">
              <controlPr defaultSize="0" autoFill="0" autoLine="0" autoPict="0">
                <anchor moveWithCells="1" sizeWithCells="1">
                  <from>
                    <xdr:col>14</xdr:col>
                    <xdr:colOff>0</xdr:colOff>
                    <xdr:row>45</xdr:row>
                    <xdr:rowOff>161925</xdr:rowOff>
                  </from>
                  <to>
                    <xdr:col>27</xdr:col>
                    <xdr:colOff>0</xdr:colOff>
                    <xdr:row>47</xdr:row>
                    <xdr:rowOff>0</xdr:rowOff>
                  </to>
                </anchor>
              </controlPr>
            </control>
          </mc:Choice>
        </mc:AlternateContent>
        <mc:AlternateContent xmlns:mc="http://schemas.openxmlformats.org/markup-compatibility/2006">
          <mc:Choice Requires="x14">
            <control shapeId="2550660" r:id="rId19" name="Check Box 1924">
              <controlPr defaultSize="0" autoFill="0" autoLine="0" autoPict="0">
                <anchor moveWithCells="1" sizeWithCells="1">
                  <from>
                    <xdr:col>14</xdr:col>
                    <xdr:colOff>0</xdr:colOff>
                    <xdr:row>47</xdr:row>
                    <xdr:rowOff>28575</xdr:rowOff>
                  </from>
                  <to>
                    <xdr:col>25</xdr:col>
                    <xdr:colOff>104775</xdr:colOff>
                    <xdr:row>48</xdr:row>
                    <xdr:rowOff>57150</xdr:rowOff>
                  </to>
                </anchor>
              </controlPr>
            </control>
          </mc:Choice>
        </mc:AlternateContent>
        <mc:AlternateContent xmlns:mc="http://schemas.openxmlformats.org/markup-compatibility/2006">
          <mc:Choice Requires="x14">
            <control shapeId="2550661" r:id="rId20" name="Check Box 1925">
              <controlPr defaultSize="0" autoFill="0" autoLine="0" autoPict="0">
                <anchor moveWithCells="1" sizeWithCells="1">
                  <from>
                    <xdr:col>21</xdr:col>
                    <xdr:colOff>19050</xdr:colOff>
                    <xdr:row>38</xdr:row>
                    <xdr:rowOff>28575</xdr:rowOff>
                  </from>
                  <to>
                    <xdr:col>25</xdr:col>
                    <xdr:colOff>66675</xdr:colOff>
                    <xdr:row>39</xdr:row>
                    <xdr:rowOff>57150</xdr:rowOff>
                  </to>
                </anchor>
              </controlPr>
            </control>
          </mc:Choice>
        </mc:AlternateContent>
        <mc:AlternateContent xmlns:mc="http://schemas.openxmlformats.org/markup-compatibility/2006">
          <mc:Choice Requires="x14">
            <control shapeId="2550662" r:id="rId21" name="Check Box 1926">
              <controlPr defaultSize="0" autoFill="0" autoLine="0" autoPict="0">
                <anchor moveWithCells="1" sizeWithCells="1">
                  <from>
                    <xdr:col>21</xdr:col>
                    <xdr:colOff>19050</xdr:colOff>
                    <xdr:row>39</xdr:row>
                    <xdr:rowOff>85725</xdr:rowOff>
                  </from>
                  <to>
                    <xdr:col>34</xdr:col>
                    <xdr:colOff>19050</xdr:colOff>
                    <xdr:row>40</xdr:row>
                    <xdr:rowOff>114300</xdr:rowOff>
                  </to>
                </anchor>
              </controlPr>
            </control>
          </mc:Choice>
        </mc:AlternateContent>
        <mc:AlternateContent xmlns:mc="http://schemas.openxmlformats.org/markup-compatibility/2006">
          <mc:Choice Requires="x14">
            <control shapeId="2550663" r:id="rId22" name="Check Box 1927">
              <controlPr defaultSize="0" autoFill="0" autoLine="0" autoPict="0">
                <anchor moveWithCells="1" sizeWithCells="1">
                  <from>
                    <xdr:col>21</xdr:col>
                    <xdr:colOff>19050</xdr:colOff>
                    <xdr:row>40</xdr:row>
                    <xdr:rowOff>142875</xdr:rowOff>
                  </from>
                  <to>
                    <xdr:col>34</xdr:col>
                    <xdr:colOff>19050</xdr:colOff>
                    <xdr:row>41</xdr:row>
                    <xdr:rowOff>171450</xdr:rowOff>
                  </to>
                </anchor>
              </controlPr>
            </control>
          </mc:Choice>
        </mc:AlternateContent>
        <mc:AlternateContent xmlns:mc="http://schemas.openxmlformats.org/markup-compatibility/2006">
          <mc:Choice Requires="x14">
            <control shapeId="2550664" r:id="rId23" name="Check Box 1928">
              <controlPr defaultSize="0" autoFill="0" autoLine="0" autoPict="0">
                <anchor moveWithCells="1" sizeWithCells="1">
                  <from>
                    <xdr:col>21</xdr:col>
                    <xdr:colOff>19050</xdr:colOff>
                    <xdr:row>42</xdr:row>
                    <xdr:rowOff>9525</xdr:rowOff>
                  </from>
                  <to>
                    <xdr:col>34</xdr:col>
                    <xdr:colOff>19050</xdr:colOff>
                    <xdr:row>43</xdr:row>
                    <xdr:rowOff>38100</xdr:rowOff>
                  </to>
                </anchor>
              </controlPr>
            </control>
          </mc:Choice>
        </mc:AlternateContent>
        <mc:AlternateContent xmlns:mc="http://schemas.openxmlformats.org/markup-compatibility/2006">
          <mc:Choice Requires="x14">
            <control shapeId="2550665" r:id="rId24" name="Check Box 1929">
              <controlPr defaultSize="0" autoFill="0" autoLine="0" autoPict="0">
                <anchor moveWithCells="1" sizeWithCells="1">
                  <from>
                    <xdr:col>21</xdr:col>
                    <xdr:colOff>19050</xdr:colOff>
                    <xdr:row>43</xdr:row>
                    <xdr:rowOff>57150</xdr:rowOff>
                  </from>
                  <to>
                    <xdr:col>34</xdr:col>
                    <xdr:colOff>19050</xdr:colOff>
                    <xdr:row>44</xdr:row>
                    <xdr:rowOff>85725</xdr:rowOff>
                  </to>
                </anchor>
              </controlPr>
            </control>
          </mc:Choice>
        </mc:AlternateContent>
        <mc:AlternateContent xmlns:mc="http://schemas.openxmlformats.org/markup-compatibility/2006">
          <mc:Choice Requires="x14">
            <control shapeId="2550666" r:id="rId25" name="Check Box 1930">
              <controlPr defaultSize="0" autoFill="0" autoLine="0" autoPict="0">
                <anchor moveWithCells="1" sizeWithCells="1">
                  <from>
                    <xdr:col>21</xdr:col>
                    <xdr:colOff>19050</xdr:colOff>
                    <xdr:row>44</xdr:row>
                    <xdr:rowOff>123825</xdr:rowOff>
                  </from>
                  <to>
                    <xdr:col>34</xdr:col>
                    <xdr:colOff>19050</xdr:colOff>
                    <xdr:row>45</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indexed="47"/>
  </sheetPr>
  <dimension ref="A1:Z108"/>
  <sheetViews>
    <sheetView showGridLines="0" showZeros="0" view="pageBreakPreview" zoomScaleNormal="100" zoomScaleSheetLayoutView="100" workbookViewId="0">
      <selection activeCell="V49" sqref="V49"/>
    </sheetView>
  </sheetViews>
  <sheetFormatPr defaultColWidth="4.28515625" defaultRowHeight="14.1" customHeight="1"/>
  <cols>
    <col min="1" max="1" width="2.5703125" style="680" customWidth="1"/>
    <col min="2" max="2" width="2.5703125" style="480" customWidth="1"/>
    <col min="3" max="3" width="6.28515625" style="477" customWidth="1"/>
    <col min="4" max="16" width="5.7109375" style="477" customWidth="1"/>
    <col min="17" max="17" width="6.85546875" style="477" customWidth="1"/>
    <col min="18" max="18" width="5.7109375" style="477" customWidth="1"/>
    <col min="19" max="19" width="2" style="477" customWidth="1"/>
    <col min="20" max="36" width="5.7109375" style="477" customWidth="1"/>
    <col min="37" max="37" width="22.28515625" style="477" customWidth="1"/>
    <col min="38" max="38" width="10.7109375" style="477" customWidth="1"/>
    <col min="39" max="39" width="4.28515625" style="477"/>
    <col min="40" max="41" width="5.7109375" style="477" customWidth="1"/>
    <col min="42" max="42" width="4.7109375" style="477" bestFit="1" customWidth="1"/>
    <col min="43" max="45" width="4.28515625" style="477"/>
    <col min="46" max="46" width="4.7109375" style="477" bestFit="1" customWidth="1"/>
    <col min="47" max="16384" width="4.28515625" style="477"/>
  </cols>
  <sheetData>
    <row r="1" spans="1:22" s="664" customFormat="1" ht="64.150000000000006" customHeight="1" thickBot="1">
      <c r="B1" s="506"/>
      <c r="C1" s="506"/>
      <c r="D1" s="506"/>
      <c r="E1" s="1262" t="s">
        <v>867</v>
      </c>
      <c r="F1" s="1262"/>
      <c r="G1" s="1262"/>
      <c r="H1" s="1262"/>
      <c r="I1" s="1262"/>
      <c r="J1" s="1262"/>
      <c r="K1" s="1262"/>
      <c r="L1" s="1262"/>
      <c r="M1" s="1262"/>
      <c r="N1" s="506"/>
      <c r="O1" s="506"/>
      <c r="P1" s="506"/>
      <c r="Q1" s="665"/>
      <c r="R1" s="665"/>
      <c r="S1" s="665"/>
      <c r="T1" s="665"/>
      <c r="U1" s="666"/>
    </row>
    <row r="2" spans="1:22" ht="16.350000000000001" customHeight="1">
      <c r="A2" s="756" t="s">
        <v>93</v>
      </c>
      <c r="B2" s="757"/>
      <c r="C2" s="758" t="s">
        <v>532</v>
      </c>
      <c r="D2" s="759"/>
      <c r="E2" s="759"/>
      <c r="F2" s="759"/>
      <c r="G2" s="759"/>
      <c r="H2" s="1267" t="s">
        <v>832</v>
      </c>
      <c r="I2" s="1267"/>
      <c r="J2" s="1284" t="str">
        <f>IF(ISBLANK('Design Summary'!Q3)," ",'Design Summary'!Q3)</f>
        <v xml:space="preserve"> </v>
      </c>
      <c r="K2" s="1284"/>
      <c r="L2" s="759"/>
      <c r="M2" s="759"/>
      <c r="N2" s="759"/>
      <c r="O2" s="759"/>
      <c r="P2" s="759"/>
      <c r="Q2" s="1267" t="str">
        <f>'Drop-Down Lists'!J40</f>
        <v>v 04.20.2016</v>
      </c>
      <c r="R2" s="1267"/>
      <c r="S2" s="1281"/>
    </row>
    <row r="3" spans="1:22" ht="6" customHeight="1">
      <c r="A3" s="803"/>
      <c r="B3" s="760"/>
      <c r="C3" s="761"/>
      <c r="D3" s="761"/>
      <c r="E3" s="761"/>
      <c r="F3" s="761"/>
      <c r="G3" s="761"/>
      <c r="H3" s="761"/>
      <c r="I3" s="761"/>
      <c r="J3" s="761"/>
      <c r="K3" s="761"/>
      <c r="L3" s="761"/>
      <c r="M3" s="761"/>
      <c r="N3" s="761"/>
      <c r="O3" s="761"/>
      <c r="P3" s="761"/>
      <c r="Q3" s="761"/>
      <c r="R3" s="761"/>
      <c r="S3" s="804"/>
    </row>
    <row r="4" spans="1:22" ht="18" customHeight="1">
      <c r="A4" s="487"/>
      <c r="B4" s="480" t="s">
        <v>154</v>
      </c>
      <c r="C4" s="477" t="s">
        <v>958</v>
      </c>
      <c r="H4" s="986" t="str">
        <f>IF('Design Summary'!Y40=0,"",IF('Design Summary'!Y40=1,'Design Summary'!D9,""))</f>
        <v/>
      </c>
      <c r="I4" s="1268"/>
      <c r="J4" s="477" t="s">
        <v>317</v>
      </c>
      <c r="S4" s="486"/>
    </row>
    <row r="5" spans="1:22" ht="6" customHeight="1">
      <c r="A5" s="487"/>
      <c r="S5" s="486"/>
    </row>
    <row r="6" spans="1:22" ht="18" customHeight="1">
      <c r="A6" s="487"/>
      <c r="B6" s="505" t="s">
        <v>527</v>
      </c>
      <c r="C6" s="477" t="s">
        <v>1162</v>
      </c>
      <c r="H6" s="1279" t="str">
        <f>IF('Design Summary'!Y40=1,'Design Summary'!G58,"")</f>
        <v/>
      </c>
      <c r="I6" s="1268"/>
      <c r="J6" s="477" t="s">
        <v>538</v>
      </c>
      <c r="K6" s="1269" t="s">
        <v>956</v>
      </c>
      <c r="L6" s="1269"/>
      <c r="M6" s="1269"/>
      <c r="N6" s="1269"/>
      <c r="O6" s="1269"/>
      <c r="P6" s="1282"/>
      <c r="Q6" s="1283"/>
      <c r="R6" s="477" t="s">
        <v>538</v>
      </c>
      <c r="S6" s="671"/>
    </row>
    <row r="7" spans="1:22" ht="6" customHeight="1">
      <c r="A7" s="487"/>
      <c r="L7" s="672"/>
      <c r="M7" s="672"/>
      <c r="N7" s="672"/>
      <c r="O7" s="672"/>
      <c r="P7" s="672"/>
      <c r="Q7" s="672"/>
      <c r="R7" s="672"/>
      <c r="S7" s="671"/>
    </row>
    <row r="8" spans="1:22" ht="18" customHeight="1">
      <c r="A8" s="487"/>
      <c r="B8" s="480" t="s">
        <v>156</v>
      </c>
      <c r="C8" s="477" t="s">
        <v>1064</v>
      </c>
      <c r="H8" s="1244" t="str">
        <f>IF('Design Summary'!Y40=0,"",IF('Design Summary'!Y40=1,'Design Summary'!P52,""))</f>
        <v/>
      </c>
      <c r="I8" s="1268"/>
      <c r="J8" s="477" t="s">
        <v>91</v>
      </c>
      <c r="L8" s="477" t="s">
        <v>285</v>
      </c>
      <c r="P8" s="1282"/>
      <c r="Q8" s="1283"/>
      <c r="R8" s="477" t="s">
        <v>1045</v>
      </c>
      <c r="S8" s="671"/>
    </row>
    <row r="9" spans="1:22" ht="6" customHeight="1">
      <c r="A9" s="487"/>
      <c r="L9" s="672"/>
      <c r="M9" s="672"/>
      <c r="N9" s="672"/>
      <c r="O9" s="672"/>
      <c r="P9" s="672"/>
      <c r="Q9" s="672"/>
      <c r="R9" s="672"/>
      <c r="S9" s="671"/>
    </row>
    <row r="10" spans="1:22" ht="18" customHeight="1">
      <c r="A10" s="487"/>
      <c r="B10" s="504" t="s">
        <v>476</v>
      </c>
      <c r="C10" s="1247" t="s">
        <v>1065</v>
      </c>
      <c r="D10" s="1248"/>
      <c r="E10" s="1248"/>
      <c r="F10" s="1248"/>
      <c r="G10" s="1248"/>
      <c r="H10" s="1248"/>
      <c r="I10" s="1248"/>
      <c r="J10" s="1248"/>
      <c r="K10" s="1248"/>
      <c r="L10" s="1248"/>
      <c r="M10" s="1248"/>
      <c r="N10" s="1248"/>
      <c r="O10" s="1248"/>
      <c r="P10" s="1248"/>
      <c r="Q10" s="1248"/>
      <c r="S10" s="486"/>
    </row>
    <row r="11" spans="1:22" ht="6" customHeight="1">
      <c r="A11" s="487"/>
      <c r="B11" s="504"/>
      <c r="C11" s="482"/>
      <c r="D11" s="482"/>
      <c r="E11" s="482"/>
      <c r="F11" s="482"/>
      <c r="G11" s="482"/>
      <c r="H11" s="482"/>
      <c r="L11" s="482"/>
      <c r="S11" s="486"/>
    </row>
    <row r="12" spans="1:22" ht="18" customHeight="1">
      <c r="A12" s="487"/>
      <c r="B12" s="504"/>
      <c r="C12" s="1254" t="str">
        <f>H4</f>
        <v/>
      </c>
      <c r="D12" s="1255"/>
      <c r="E12" s="476" t="s">
        <v>552</v>
      </c>
      <c r="F12" s="1244" t="str">
        <f>H8</f>
        <v/>
      </c>
      <c r="G12" s="1245"/>
      <c r="H12" s="996" t="s">
        <v>957</v>
      </c>
      <c r="I12" s="1274"/>
      <c r="J12" s="986" t="str">
        <f>IF('Design Summary'!Y40=0,"",IF('Design Summary'!Y40=2,"",IF('Design Summary'!Y40=2,"",IF('Design Summary'!Y40=3,"",IF('Design Summary'!Y40=4,"",IF('Design Summary'!Y40=5,"",IF('Design Summary'!Y40=1,C12/F12)))))))</f>
        <v/>
      </c>
      <c r="K12" s="987"/>
      <c r="L12" s="477" t="s">
        <v>31</v>
      </c>
      <c r="S12" s="486"/>
      <c r="V12" s="674"/>
    </row>
    <row r="13" spans="1:22" ht="6" customHeight="1">
      <c r="A13" s="487"/>
      <c r="B13" s="504"/>
      <c r="C13" s="482"/>
      <c r="D13" s="482"/>
      <c r="E13" s="482"/>
      <c r="F13" s="482"/>
      <c r="G13" s="482"/>
      <c r="H13" s="482"/>
      <c r="L13" s="482"/>
      <c r="S13" s="486"/>
      <c r="V13" s="674"/>
    </row>
    <row r="14" spans="1:22" ht="18" customHeight="1">
      <c r="A14" s="487"/>
      <c r="B14" s="504" t="s">
        <v>477</v>
      </c>
      <c r="C14" s="482" t="s">
        <v>1056</v>
      </c>
      <c r="D14" s="482"/>
      <c r="E14" s="482"/>
      <c r="H14" s="476"/>
      <c r="I14" s="476"/>
      <c r="S14" s="486"/>
      <c r="V14" s="798" t="b">
        <v>0</v>
      </c>
    </row>
    <row r="15" spans="1:22" ht="18" customHeight="1">
      <c r="A15" s="487"/>
      <c r="B15" s="504"/>
      <c r="C15" s="675" t="s">
        <v>873</v>
      </c>
      <c r="H15" s="476"/>
      <c r="I15" s="511"/>
      <c r="N15" s="574"/>
      <c r="O15" s="574"/>
      <c r="P15" s="574"/>
      <c r="Q15" s="574"/>
      <c r="R15" s="574"/>
      <c r="S15" s="805"/>
      <c r="V15" s="798" t="b">
        <v>0</v>
      </c>
    </row>
    <row r="16" spans="1:22" ht="6" customHeight="1">
      <c r="A16" s="487"/>
      <c r="B16" s="504"/>
      <c r="C16" s="482"/>
      <c r="D16" s="482"/>
      <c r="E16" s="482"/>
      <c r="F16" s="482"/>
      <c r="G16" s="482"/>
      <c r="H16" s="482"/>
      <c r="L16" s="482"/>
      <c r="S16" s="486"/>
      <c r="V16" s="674"/>
    </row>
    <row r="17" spans="1:22" ht="18" customHeight="1">
      <c r="A17" s="487"/>
      <c r="B17" s="504" t="s">
        <v>539</v>
      </c>
      <c r="C17" s="482" t="s">
        <v>1057</v>
      </c>
      <c r="D17" s="482"/>
      <c r="E17" s="482"/>
      <c r="I17" s="476"/>
      <c r="S17" s="486"/>
      <c r="V17" s="674"/>
    </row>
    <row r="18" spans="1:22" ht="18" customHeight="1">
      <c r="A18" s="487"/>
      <c r="M18" s="1286"/>
      <c r="N18" s="1287"/>
      <c r="O18" s="1287"/>
      <c r="P18" s="1287"/>
      <c r="Q18" s="1287"/>
      <c r="R18" s="1288"/>
      <c r="S18" s="486"/>
    </row>
    <row r="19" spans="1:22" ht="6" customHeight="1">
      <c r="A19" s="487"/>
      <c r="H19" s="476"/>
      <c r="I19" s="476"/>
      <c r="S19" s="486"/>
    </row>
    <row r="20" spans="1:22" ht="18" customHeight="1">
      <c r="A20" s="487"/>
      <c r="B20" s="480" t="s">
        <v>540</v>
      </c>
      <c r="C20" s="746" t="s">
        <v>1161</v>
      </c>
      <c r="D20" s="746"/>
      <c r="E20" s="746"/>
      <c r="F20" s="746"/>
      <c r="G20" s="746"/>
      <c r="H20" s="747"/>
      <c r="I20" s="748"/>
      <c r="J20" s="746"/>
      <c r="K20" s="746"/>
      <c r="L20" s="746"/>
      <c r="M20" s="746"/>
      <c r="N20" s="746"/>
      <c r="O20" s="746"/>
      <c r="P20" s="753"/>
      <c r="Q20" s="753"/>
      <c r="R20" s="746"/>
      <c r="S20" s="754"/>
    </row>
    <row r="21" spans="1:22" ht="18" customHeight="1">
      <c r="A21" s="487"/>
      <c r="C21" s="749" t="s">
        <v>1156</v>
      </c>
      <c r="D21" s="749"/>
      <c r="E21" s="750"/>
      <c r="F21" s="750"/>
      <c r="G21" s="750"/>
      <c r="H21" s="751"/>
      <c r="I21" s="752"/>
      <c r="J21" s="750"/>
      <c r="K21" s="750"/>
      <c r="L21" s="750"/>
      <c r="M21" s="1249"/>
      <c r="N21" s="1285"/>
      <c r="O21" s="1285"/>
      <c r="P21" s="1285"/>
      <c r="Q21" s="1285"/>
      <c r="R21" s="1250"/>
      <c r="S21" s="671"/>
    </row>
    <row r="22" spans="1:22" ht="6" customHeight="1">
      <c r="A22" s="806"/>
      <c r="B22" s="762"/>
      <c r="C22" s="763"/>
      <c r="D22" s="763"/>
      <c r="E22" s="763"/>
      <c r="F22" s="763"/>
      <c r="G22" s="763"/>
      <c r="H22" s="763"/>
      <c r="I22" s="684"/>
      <c r="J22" s="684"/>
      <c r="K22" s="684"/>
      <c r="L22" s="763"/>
      <c r="M22" s="684"/>
      <c r="N22" s="684"/>
      <c r="O22" s="684"/>
      <c r="P22" s="684"/>
      <c r="Q22" s="684"/>
      <c r="R22" s="684"/>
      <c r="S22" s="807"/>
      <c r="V22" s="674"/>
    </row>
    <row r="23" spans="1:22" ht="18" customHeight="1">
      <c r="A23" s="907" t="s">
        <v>94</v>
      </c>
      <c r="B23" s="908"/>
      <c r="C23" s="909" t="s">
        <v>884</v>
      </c>
      <c r="D23" s="910"/>
      <c r="E23" s="910"/>
      <c r="F23" s="910"/>
      <c r="G23" s="910"/>
      <c r="H23" s="910"/>
      <c r="I23" s="910"/>
      <c r="J23" s="910"/>
      <c r="K23" s="910"/>
      <c r="L23" s="910"/>
      <c r="M23" s="910"/>
      <c r="N23" s="910"/>
      <c r="O23" s="910"/>
      <c r="P23" s="910"/>
      <c r="Q23" s="910"/>
      <c r="R23" s="910"/>
      <c r="S23" s="911"/>
    </row>
    <row r="24" spans="1:22" ht="6" customHeight="1">
      <c r="A24" s="912"/>
      <c r="B24" s="760"/>
      <c r="C24" s="761"/>
      <c r="D24" s="761"/>
      <c r="E24" s="761"/>
      <c r="F24" s="761"/>
      <c r="G24" s="761"/>
      <c r="H24" s="761"/>
      <c r="I24" s="761"/>
      <c r="J24" s="913"/>
      <c r="K24" s="761"/>
      <c r="L24" s="761"/>
      <c r="M24" s="761"/>
      <c r="N24" s="761"/>
      <c r="O24" s="761"/>
      <c r="P24" s="761"/>
      <c r="Q24" s="761"/>
      <c r="R24" s="914"/>
      <c r="S24" s="915"/>
    </row>
    <row r="25" spans="1:22" ht="18" customHeight="1">
      <c r="A25" s="654"/>
      <c r="B25" s="504" t="s">
        <v>154</v>
      </c>
      <c r="C25" s="1253" t="s">
        <v>210</v>
      </c>
      <c r="D25" s="1253"/>
      <c r="E25" s="1253"/>
      <c r="F25" s="1253" t="s">
        <v>533</v>
      </c>
      <c r="G25" s="1253"/>
      <c r="H25" s="1253" t="s">
        <v>534</v>
      </c>
      <c r="I25" s="1253"/>
      <c r="J25" s="1253" t="s">
        <v>35</v>
      </c>
      <c r="K25" s="1253"/>
      <c r="L25" s="1270" t="s">
        <v>211</v>
      </c>
      <c r="M25" s="1271"/>
      <c r="R25" s="484"/>
      <c r="S25" s="518"/>
    </row>
    <row r="26" spans="1:22" ht="25.15" customHeight="1">
      <c r="A26" s="654"/>
      <c r="C26" s="1253"/>
      <c r="D26" s="1253"/>
      <c r="E26" s="1253"/>
      <c r="F26" s="1253"/>
      <c r="G26" s="1253"/>
      <c r="H26" s="1253"/>
      <c r="I26" s="1253"/>
      <c r="J26" s="1253"/>
      <c r="K26" s="1253"/>
      <c r="L26" s="1272"/>
      <c r="M26" s="1273"/>
      <c r="R26" s="510"/>
      <c r="S26" s="518"/>
    </row>
    <row r="27" spans="1:22" ht="18" customHeight="1">
      <c r="A27" s="654"/>
      <c r="C27" s="1266" t="str">
        <f>IF(V14,MAX(0,J12),"")</f>
        <v/>
      </c>
      <c r="D27" s="1266"/>
      <c r="E27" s="1266"/>
      <c r="F27" s="1251" t="s">
        <v>535</v>
      </c>
      <c r="G27" s="1251"/>
      <c r="H27" s="1252">
        <v>0</v>
      </c>
      <c r="I27" s="1252"/>
      <c r="J27" s="1251">
        <v>1</v>
      </c>
      <c r="K27" s="1251"/>
      <c r="L27" s="1260" t="str">
        <f>C27</f>
        <v/>
      </c>
      <c r="M27" s="1261"/>
      <c r="R27" s="510"/>
      <c r="S27" s="518"/>
    </row>
    <row r="28" spans="1:22" ht="18" customHeight="1">
      <c r="A28" s="654"/>
      <c r="C28" s="1266"/>
      <c r="D28" s="1266"/>
      <c r="E28" s="1266"/>
      <c r="F28" s="1251" t="s">
        <v>536</v>
      </c>
      <c r="G28" s="1251"/>
      <c r="H28" s="1252">
        <v>0.2</v>
      </c>
      <c r="I28" s="1252"/>
      <c r="J28" s="1251">
        <v>0.8</v>
      </c>
      <c r="K28" s="1251"/>
      <c r="L28" s="1260" t="str">
        <f>IF(V14,(L27*0.8),"")</f>
        <v/>
      </c>
      <c r="M28" s="1261"/>
      <c r="R28" s="510"/>
      <c r="S28" s="518"/>
    </row>
    <row r="29" spans="1:22" ht="18" customHeight="1">
      <c r="A29" s="654"/>
      <c r="C29" s="1266"/>
      <c r="D29" s="1266"/>
      <c r="E29" s="1266"/>
      <c r="F29" s="1251" t="s">
        <v>537</v>
      </c>
      <c r="G29" s="1251"/>
      <c r="H29" s="1252">
        <v>0.34</v>
      </c>
      <c r="I29" s="1252"/>
      <c r="J29" s="1251">
        <v>0.66</v>
      </c>
      <c r="K29" s="1251"/>
      <c r="L29" s="1260" t="str">
        <f>IF(V14,(L27*0.66),"")</f>
        <v/>
      </c>
      <c r="M29" s="1261"/>
      <c r="R29" s="510"/>
      <c r="S29" s="518"/>
    </row>
    <row r="30" spans="1:22" ht="18" customHeight="1">
      <c r="A30" s="654"/>
      <c r="C30" s="1266"/>
      <c r="D30" s="1266"/>
      <c r="E30" s="1266"/>
      <c r="F30" s="1251">
        <v>24</v>
      </c>
      <c r="G30" s="1251"/>
      <c r="H30" s="1252">
        <v>0.4</v>
      </c>
      <c r="I30" s="1252"/>
      <c r="J30" s="1251">
        <v>0.6</v>
      </c>
      <c r="K30" s="1251"/>
      <c r="L30" s="1260" t="str">
        <f>IF(V14,(L27*0.6),"")</f>
        <v/>
      </c>
      <c r="M30" s="1261"/>
      <c r="S30" s="518"/>
    </row>
    <row r="31" spans="1:22" ht="6" customHeight="1">
      <c r="A31" s="654"/>
      <c r="S31" s="518"/>
    </row>
    <row r="32" spans="1:22" ht="18" customHeight="1">
      <c r="A32" s="654"/>
      <c r="B32" s="504" t="s">
        <v>527</v>
      </c>
      <c r="C32" s="482" t="s">
        <v>1058</v>
      </c>
      <c r="G32" s="1249"/>
      <c r="H32" s="1250"/>
      <c r="I32" s="477" t="s">
        <v>538</v>
      </c>
      <c r="J32" s="476" t="s">
        <v>107</v>
      </c>
      <c r="K32" s="1011">
        <f>G32/12</f>
        <v>0</v>
      </c>
      <c r="L32" s="1016"/>
      <c r="M32" s="477" t="s">
        <v>97</v>
      </c>
      <c r="S32" s="518"/>
      <c r="T32" s="481"/>
    </row>
    <row r="33" spans="1:26" ht="6" customHeight="1">
      <c r="A33" s="654"/>
      <c r="C33" s="482"/>
      <c r="S33" s="518"/>
    </row>
    <row r="34" spans="1:26" ht="18" customHeight="1">
      <c r="A34" s="654"/>
      <c r="B34" s="504" t="s">
        <v>156</v>
      </c>
      <c r="C34" s="482" t="s">
        <v>1059</v>
      </c>
      <c r="G34" s="1263"/>
      <c r="H34" s="1264"/>
      <c r="I34" s="477" t="s">
        <v>31</v>
      </c>
      <c r="S34" s="518"/>
      <c r="T34" s="508"/>
      <c r="U34" s="508"/>
    </row>
    <row r="35" spans="1:26" ht="6" customHeight="1">
      <c r="A35" s="654"/>
      <c r="S35" s="518"/>
    </row>
    <row r="36" spans="1:26" ht="18" customHeight="1">
      <c r="A36" s="654"/>
      <c r="B36" s="504" t="s">
        <v>476</v>
      </c>
      <c r="C36" s="482" t="s">
        <v>1060</v>
      </c>
      <c r="G36" s="1249"/>
      <c r="H36" s="1250"/>
      <c r="I36" s="477" t="s">
        <v>97</v>
      </c>
      <c r="J36" s="476"/>
      <c r="K36" s="1246"/>
      <c r="L36" s="1246"/>
      <c r="S36" s="518"/>
    </row>
    <row r="37" spans="1:26" ht="6" customHeight="1">
      <c r="A37" s="654"/>
      <c r="S37" s="518"/>
    </row>
    <row r="38" spans="1:26" ht="18" customHeight="1">
      <c r="A38" s="654"/>
      <c r="B38" s="504" t="s">
        <v>477</v>
      </c>
      <c r="C38" s="1247" t="s">
        <v>1201</v>
      </c>
      <c r="D38" s="1248"/>
      <c r="E38" s="1248"/>
      <c r="F38" s="1248"/>
      <c r="G38" s="1248"/>
      <c r="H38" s="1248"/>
      <c r="I38" s="1248"/>
      <c r="J38" s="1248"/>
      <c r="K38" s="1248"/>
      <c r="L38" s="1248"/>
      <c r="M38" s="1248"/>
      <c r="N38" s="1248"/>
      <c r="O38" s="1248"/>
      <c r="P38" s="1248"/>
      <c r="Q38" s="1248"/>
      <c r="R38" s="1248"/>
      <c r="S38" s="518"/>
    </row>
    <row r="39" spans="1:26" ht="18" customHeight="1">
      <c r="A39" s="654"/>
      <c r="B39" s="504"/>
      <c r="C39" s="482"/>
      <c r="G39" s="1254">
        <f>G34</f>
        <v>0</v>
      </c>
      <c r="H39" s="1255"/>
      <c r="I39" s="476" t="s">
        <v>1066</v>
      </c>
      <c r="J39" s="1011">
        <f>G36</f>
        <v>0</v>
      </c>
      <c r="K39" s="1016"/>
      <c r="L39" s="476" t="s">
        <v>113</v>
      </c>
      <c r="M39" s="986" t="str">
        <f>IF(ISBLANK(G36),"",G34/G36)</f>
        <v/>
      </c>
      <c r="N39" s="987"/>
      <c r="O39" s="477" t="s">
        <v>97</v>
      </c>
      <c r="P39" s="476"/>
      <c r="S39" s="518"/>
      <c r="U39" s="509"/>
      <c r="V39" s="509"/>
      <c r="W39" s="476"/>
      <c r="X39" s="509"/>
      <c r="Y39" s="476"/>
      <c r="Z39" s="508"/>
    </row>
    <row r="40" spans="1:26" ht="6" customHeight="1">
      <c r="A40" s="654"/>
      <c r="C40" s="482"/>
      <c r="S40" s="518"/>
    </row>
    <row r="41" spans="1:26" ht="18" customHeight="1">
      <c r="A41" s="654"/>
      <c r="B41" s="504" t="s">
        <v>539</v>
      </c>
      <c r="C41" s="482" t="s">
        <v>1182</v>
      </c>
      <c r="S41" s="518"/>
    </row>
    <row r="42" spans="1:26" ht="18" customHeight="1">
      <c r="A42" s="654"/>
      <c r="C42" s="482"/>
      <c r="G42" s="986" t="str">
        <f>IF(ISBLANK(G32), "",H4)</f>
        <v/>
      </c>
      <c r="H42" s="987"/>
      <c r="I42" s="476" t="s">
        <v>551</v>
      </c>
      <c r="J42" s="1011" t="str">
        <f>IF(ISBLANK(G32), " ",P8)</f>
        <v xml:space="preserve"> </v>
      </c>
      <c r="K42" s="1016"/>
      <c r="L42" s="996" t="s">
        <v>563</v>
      </c>
      <c r="M42" s="997"/>
      <c r="N42" s="1011" t="str">
        <f>IF(ISBLANK(G32),"", (G42/J42))</f>
        <v/>
      </c>
      <c r="O42" s="1012"/>
      <c r="P42" s="477" t="s">
        <v>97</v>
      </c>
      <c r="S42" s="518"/>
    </row>
    <row r="43" spans="1:26" ht="6" customHeight="1">
      <c r="A43" s="654"/>
      <c r="C43" s="482"/>
      <c r="N43" s="507"/>
      <c r="O43" s="507"/>
      <c r="S43" s="518"/>
    </row>
    <row r="44" spans="1:26" ht="18" customHeight="1">
      <c r="A44" s="654"/>
      <c r="B44" s="504" t="s">
        <v>540</v>
      </c>
      <c r="C44" s="482" t="s">
        <v>1311</v>
      </c>
      <c r="G44" s="986" t="str">
        <f>IF(ISBLANK(G32)," ",(M39/N42))</f>
        <v xml:space="preserve"> </v>
      </c>
      <c r="H44" s="987"/>
      <c r="I44" s="477" t="s">
        <v>1302</v>
      </c>
      <c r="M44" s="1148"/>
      <c r="N44" s="1149"/>
      <c r="O44" s="477" t="s">
        <v>1310</v>
      </c>
      <c r="P44" s="476"/>
      <c r="S44" s="518"/>
    </row>
    <row r="45" spans="1:26" ht="6" customHeight="1">
      <c r="A45" s="654"/>
      <c r="C45" s="482"/>
      <c r="S45" s="518"/>
    </row>
    <row r="46" spans="1:26" ht="18" customHeight="1">
      <c r="A46" s="654"/>
      <c r="B46" s="480" t="s">
        <v>541</v>
      </c>
      <c r="C46" s="482" t="s">
        <v>1281</v>
      </c>
      <c r="S46" s="518"/>
    </row>
    <row r="47" spans="1:26" ht="18" customHeight="1">
      <c r="A47" s="654"/>
      <c r="C47" s="482"/>
      <c r="G47" s="986" t="str">
        <f>IF(ISBLANK(G32), "",M39)</f>
        <v/>
      </c>
      <c r="H47" s="987"/>
      <c r="I47" s="476" t="s">
        <v>1312</v>
      </c>
      <c r="J47" s="1011" t="str">
        <f>IF(ISBLANK(G32), " ",M44)</f>
        <v xml:space="preserve"> </v>
      </c>
      <c r="K47" s="1016"/>
      <c r="L47" s="996" t="s">
        <v>1313</v>
      </c>
      <c r="M47" s="997"/>
      <c r="N47" s="1011" t="str">
        <f>IF(ISBLANK(G32),"", (G47/J47))</f>
        <v/>
      </c>
      <c r="O47" s="1012"/>
      <c r="P47" s="477" t="s">
        <v>97</v>
      </c>
      <c r="S47" s="518"/>
    </row>
    <row r="48" spans="1:26" ht="6" customHeight="1">
      <c r="A48" s="654"/>
      <c r="C48" s="482"/>
      <c r="S48" s="518"/>
    </row>
    <row r="49" spans="1:20" ht="18" customHeight="1">
      <c r="A49" s="654"/>
      <c r="B49" s="504" t="s">
        <v>598</v>
      </c>
      <c r="C49" s="482" t="s">
        <v>1053</v>
      </c>
      <c r="G49" s="1249"/>
      <c r="H49" s="1250"/>
      <c r="I49" s="477" t="s">
        <v>97</v>
      </c>
      <c r="J49" s="477" t="s">
        <v>222</v>
      </c>
      <c r="N49" s="507"/>
      <c r="O49" s="507"/>
      <c r="P49" s="476"/>
      <c r="S49" s="518"/>
    </row>
    <row r="50" spans="1:20" ht="6" customHeight="1">
      <c r="A50" s="654"/>
      <c r="C50" s="482"/>
      <c r="N50" s="507"/>
      <c r="O50" s="507"/>
      <c r="S50" s="518"/>
    </row>
    <row r="51" spans="1:20" ht="18" customHeight="1">
      <c r="A51" s="654"/>
      <c r="B51" s="480" t="s">
        <v>599</v>
      </c>
      <c r="C51" s="482" t="s">
        <v>1061</v>
      </c>
      <c r="N51" s="507"/>
      <c r="O51" s="507"/>
      <c r="S51" s="518"/>
    </row>
    <row r="52" spans="1:20" ht="18" customHeight="1">
      <c r="A52" s="654"/>
      <c r="G52" s="986" t="str">
        <f>M39</f>
        <v/>
      </c>
      <c r="H52" s="987"/>
      <c r="I52" s="476" t="s">
        <v>128</v>
      </c>
      <c r="J52" s="986" t="str">
        <f>IF(ISBLANK(G49), " ", G49)</f>
        <v xml:space="preserve"> </v>
      </c>
      <c r="K52" s="987"/>
      <c r="L52" s="476" t="s">
        <v>123</v>
      </c>
      <c r="N52" s="986" t="str">
        <f>IF(ISBLANK(G49), " ", (M39*G49))</f>
        <v xml:space="preserve"> </v>
      </c>
      <c r="O52" s="1265"/>
      <c r="P52" s="477" t="s">
        <v>32</v>
      </c>
      <c r="Q52" s="507"/>
      <c r="S52" s="518"/>
      <c r="T52" s="481"/>
    </row>
    <row r="53" spans="1:20" ht="6" customHeight="1">
      <c r="A53" s="654"/>
      <c r="C53" s="482"/>
      <c r="N53" s="507"/>
      <c r="O53" s="507"/>
      <c r="S53" s="518"/>
    </row>
    <row r="54" spans="1:20" ht="18" customHeight="1">
      <c r="A54" s="654"/>
      <c r="B54" s="504" t="s">
        <v>600</v>
      </c>
      <c r="C54" s="482" t="s">
        <v>1054</v>
      </c>
      <c r="K54" s="1249"/>
      <c r="L54" s="1250"/>
      <c r="M54" s="477" t="s">
        <v>97</v>
      </c>
      <c r="N54" s="862" t="s">
        <v>1133</v>
      </c>
      <c r="O54" s="507"/>
      <c r="P54" s="476"/>
      <c r="S54" s="518"/>
      <c r="T54" s="490"/>
    </row>
    <row r="55" spans="1:20" ht="6" customHeight="1">
      <c r="A55" s="654"/>
      <c r="G55" s="575"/>
      <c r="H55" s="575"/>
      <c r="J55" s="482"/>
      <c r="S55" s="518"/>
    </row>
    <row r="56" spans="1:20" ht="18" customHeight="1">
      <c r="A56" s="654"/>
      <c r="B56" s="504" t="s">
        <v>12</v>
      </c>
      <c r="C56" s="863" t="s">
        <v>1284</v>
      </c>
      <c r="S56" s="916"/>
      <c r="T56" s="509"/>
    </row>
    <row r="57" spans="1:20" ht="18" customHeight="1">
      <c r="A57" s="654"/>
      <c r="B57" s="505" t="s">
        <v>314</v>
      </c>
      <c r="C57" s="1244" t="str">
        <f>IF(ISBLANK(K54),"",K32)</f>
        <v/>
      </c>
      <c r="D57" s="1245"/>
      <c r="E57" s="476" t="s">
        <v>129</v>
      </c>
      <c r="F57" s="1244" t="str">
        <f>IF(ISBLANK(K54),"",K54)</f>
        <v/>
      </c>
      <c r="G57" s="1245"/>
      <c r="H57" s="482" t="s">
        <v>553</v>
      </c>
      <c r="I57" s="1254" t="str">
        <f>IF(ISBLANK(K54),"",G34)</f>
        <v/>
      </c>
      <c r="J57" s="1255"/>
      <c r="K57" s="476" t="s">
        <v>554</v>
      </c>
      <c r="L57" s="1254" t="str">
        <f>IF(ISBLANK(G32),"",(C57+F57)*I57)</f>
        <v/>
      </c>
      <c r="M57" s="1255"/>
      <c r="N57" s="477" t="s">
        <v>33</v>
      </c>
      <c r="O57" s="511" t="s">
        <v>1283</v>
      </c>
      <c r="P57" s="1254" t="str">
        <f>IF(ISBLANK(G32),"",(L57/27))</f>
        <v/>
      </c>
      <c r="Q57" s="1255"/>
      <c r="R57" s="477" t="s">
        <v>34</v>
      </c>
      <c r="S57" s="518"/>
      <c r="T57" s="509"/>
    </row>
    <row r="58" spans="1:20" ht="6" customHeight="1">
      <c r="A58" s="654"/>
      <c r="S58" s="518"/>
    </row>
    <row r="59" spans="1:20" ht="4.9000000000000004" customHeight="1">
      <c r="A59" s="682"/>
      <c r="B59" s="683"/>
      <c r="C59" s="684"/>
      <c r="D59" s="684"/>
      <c r="E59" s="684"/>
      <c r="F59" s="684"/>
      <c r="G59" s="917"/>
      <c r="H59" s="917"/>
      <c r="I59" s="918"/>
      <c r="J59" s="918"/>
      <c r="K59" s="918"/>
      <c r="L59" s="919"/>
      <c r="M59" s="919"/>
      <c r="N59" s="684"/>
      <c r="O59" s="684"/>
      <c r="P59" s="684"/>
      <c r="Q59" s="920"/>
      <c r="R59" s="920"/>
      <c r="S59" s="685"/>
      <c r="T59" s="476"/>
    </row>
    <row r="60" spans="1:20" ht="18" customHeight="1" thickBot="1">
      <c r="A60" s="639" t="s">
        <v>148</v>
      </c>
      <c r="B60" s="640"/>
      <c r="C60" s="641" t="s">
        <v>1080</v>
      </c>
      <c r="D60" s="642"/>
      <c r="E60" s="642"/>
      <c r="F60" s="642"/>
      <c r="G60" s="642"/>
      <c r="H60" s="642"/>
      <c r="I60" s="642"/>
      <c r="J60" s="642"/>
      <c r="K60" s="642"/>
      <c r="L60" s="642"/>
      <c r="M60" s="642"/>
      <c r="N60" s="642"/>
      <c r="O60" s="642"/>
      <c r="P60" s="642"/>
      <c r="Q60" s="642"/>
      <c r="R60" s="642"/>
      <c r="S60" s="643"/>
    </row>
    <row r="61" spans="1:20" ht="6" customHeight="1">
      <c r="A61" s="679"/>
      <c r="C61" s="680"/>
      <c r="S61" s="518"/>
    </row>
    <row r="62" spans="1:20" ht="18" customHeight="1">
      <c r="A62" s="654"/>
      <c r="B62" s="504" t="s">
        <v>154</v>
      </c>
      <c r="C62" s="1253" t="s">
        <v>210</v>
      </c>
      <c r="D62" s="1253"/>
      <c r="E62" s="1253"/>
      <c r="F62" s="1253" t="s">
        <v>533</v>
      </c>
      <c r="G62" s="1253"/>
      <c r="H62" s="1253" t="s">
        <v>534</v>
      </c>
      <c r="I62" s="1253"/>
      <c r="J62" s="1253" t="s">
        <v>35</v>
      </c>
      <c r="K62" s="1253"/>
      <c r="L62" s="1270" t="s">
        <v>211</v>
      </c>
      <c r="M62" s="1271"/>
      <c r="R62" s="484"/>
      <c r="S62" s="518"/>
    </row>
    <row r="63" spans="1:20" ht="25.15" customHeight="1">
      <c r="A63" s="654"/>
      <c r="C63" s="1253"/>
      <c r="D63" s="1253"/>
      <c r="E63" s="1253"/>
      <c r="F63" s="1253"/>
      <c r="G63" s="1253"/>
      <c r="H63" s="1253"/>
      <c r="I63" s="1253"/>
      <c r="J63" s="1253"/>
      <c r="K63" s="1253"/>
      <c r="L63" s="1272"/>
      <c r="M63" s="1273"/>
      <c r="R63" s="510"/>
      <c r="S63" s="518"/>
    </row>
    <row r="64" spans="1:20" ht="18" customHeight="1">
      <c r="A64" s="654"/>
      <c r="C64" s="1256" t="str">
        <f>IF(V15,MAX(0,J12),"")</f>
        <v/>
      </c>
      <c r="D64" s="1256"/>
      <c r="E64" s="1256"/>
      <c r="F64" s="1251" t="s">
        <v>535</v>
      </c>
      <c r="G64" s="1251"/>
      <c r="H64" s="1252">
        <v>0</v>
      </c>
      <c r="I64" s="1252"/>
      <c r="J64" s="1251">
        <v>1</v>
      </c>
      <c r="K64" s="1251"/>
      <c r="L64" s="1260" t="str">
        <f>C64</f>
        <v/>
      </c>
      <c r="M64" s="1261"/>
      <c r="R64" s="510"/>
      <c r="S64" s="518"/>
    </row>
    <row r="65" spans="1:26" ht="18" customHeight="1">
      <c r="A65" s="654"/>
      <c r="C65" s="1256"/>
      <c r="D65" s="1256"/>
      <c r="E65" s="1256"/>
      <c r="F65" s="1251" t="s">
        <v>536</v>
      </c>
      <c r="G65" s="1251"/>
      <c r="H65" s="1252">
        <v>0.2</v>
      </c>
      <c r="I65" s="1252"/>
      <c r="J65" s="1251">
        <v>0.8</v>
      </c>
      <c r="K65" s="1251"/>
      <c r="L65" s="1260" t="str">
        <f>IF(V15,(C64*0.8),"")</f>
        <v/>
      </c>
      <c r="M65" s="1261"/>
      <c r="R65" s="510"/>
      <c r="S65" s="518"/>
    </row>
    <row r="66" spans="1:26" ht="18" customHeight="1">
      <c r="A66" s="654"/>
      <c r="C66" s="1256"/>
      <c r="D66" s="1256"/>
      <c r="E66" s="1256"/>
      <c r="F66" s="1251" t="s">
        <v>537</v>
      </c>
      <c r="G66" s="1251"/>
      <c r="H66" s="1252">
        <v>0.34</v>
      </c>
      <c r="I66" s="1252"/>
      <c r="J66" s="1251">
        <v>0.66</v>
      </c>
      <c r="K66" s="1251"/>
      <c r="L66" s="1260" t="str">
        <f>IF(V15,(C64*0.66),"")</f>
        <v/>
      </c>
      <c r="M66" s="1261"/>
      <c r="R66" s="510"/>
      <c r="S66" s="518"/>
    </row>
    <row r="67" spans="1:26" ht="18" customHeight="1">
      <c r="A67" s="654"/>
      <c r="C67" s="1256"/>
      <c r="D67" s="1256"/>
      <c r="E67" s="1256"/>
      <c r="F67" s="1251">
        <v>24</v>
      </c>
      <c r="G67" s="1251"/>
      <c r="H67" s="1252">
        <v>0.4</v>
      </c>
      <c r="I67" s="1252"/>
      <c r="J67" s="1251">
        <v>0.6</v>
      </c>
      <c r="K67" s="1251"/>
      <c r="L67" s="1260" t="str">
        <f>IF(V15,(C64*0.6),"")</f>
        <v/>
      </c>
      <c r="M67" s="1261"/>
      <c r="S67" s="518"/>
    </row>
    <row r="68" spans="1:26" ht="6" customHeight="1">
      <c r="A68" s="654"/>
      <c r="S68" s="518"/>
    </row>
    <row r="69" spans="1:26" ht="18" customHeight="1">
      <c r="A69" s="654"/>
      <c r="B69" s="480" t="s">
        <v>527</v>
      </c>
      <c r="C69" s="477" t="s">
        <v>885</v>
      </c>
      <c r="G69" s="1257"/>
      <c r="H69" s="1258"/>
      <c r="I69" s="1258"/>
      <c r="J69" s="1258"/>
      <c r="K69" s="1258"/>
      <c r="L69" s="1258"/>
      <c r="M69" s="1259"/>
      <c r="S69" s="518"/>
    </row>
    <row r="70" spans="1:26" ht="6" customHeight="1">
      <c r="A70" s="654"/>
      <c r="G70" s="681"/>
      <c r="H70" s="681"/>
      <c r="I70" s="575"/>
      <c r="J70" s="575"/>
      <c r="K70" s="681"/>
      <c r="L70" s="681"/>
      <c r="M70" s="575"/>
      <c r="S70" s="518"/>
    </row>
    <row r="71" spans="1:26" ht="18" customHeight="1">
      <c r="A71" s="654"/>
      <c r="B71" s="504" t="s">
        <v>156</v>
      </c>
      <c r="C71" s="482" t="s">
        <v>1058</v>
      </c>
      <c r="G71" s="1249"/>
      <c r="H71" s="1250"/>
      <c r="I71" s="477" t="s">
        <v>538</v>
      </c>
      <c r="J71" s="476" t="s">
        <v>107</v>
      </c>
      <c r="K71" s="1011">
        <f>G71/12</f>
        <v>0</v>
      </c>
      <c r="L71" s="1016"/>
      <c r="M71" s="477" t="s">
        <v>97</v>
      </c>
      <c r="S71" s="518"/>
      <c r="T71" s="481"/>
    </row>
    <row r="72" spans="1:26" ht="6" customHeight="1">
      <c r="A72" s="654"/>
      <c r="C72" s="482"/>
      <c r="S72" s="518"/>
    </row>
    <row r="73" spans="1:26" ht="18" customHeight="1">
      <c r="A73" s="654"/>
      <c r="B73" s="504" t="s">
        <v>476</v>
      </c>
      <c r="C73" s="482" t="s">
        <v>1062</v>
      </c>
      <c r="G73" s="1263"/>
      <c r="H73" s="1264"/>
      <c r="I73" s="477" t="s">
        <v>31</v>
      </c>
      <c r="S73" s="518"/>
      <c r="T73" s="508"/>
      <c r="U73" s="508"/>
    </row>
    <row r="74" spans="1:26" ht="6" customHeight="1">
      <c r="A74" s="654"/>
      <c r="S74" s="518"/>
    </row>
    <row r="75" spans="1:26" ht="18" customHeight="1">
      <c r="A75" s="654"/>
      <c r="B75" s="504" t="s">
        <v>477</v>
      </c>
      <c r="C75" s="482" t="s">
        <v>886</v>
      </c>
      <c r="G75" s="1249"/>
      <c r="H75" s="1250"/>
      <c r="I75" s="477" t="s">
        <v>97</v>
      </c>
      <c r="J75" s="476"/>
      <c r="K75" s="1246"/>
      <c r="L75" s="1246"/>
      <c r="S75" s="518"/>
    </row>
    <row r="76" spans="1:26" ht="6" customHeight="1">
      <c r="A76" s="654"/>
      <c r="S76" s="518"/>
    </row>
    <row r="77" spans="1:26" ht="18" customHeight="1">
      <c r="A77" s="654"/>
      <c r="B77" s="504" t="s">
        <v>539</v>
      </c>
      <c r="C77" s="1247" t="s">
        <v>1048</v>
      </c>
      <c r="D77" s="1248"/>
      <c r="E77" s="1248"/>
      <c r="F77" s="1248"/>
      <c r="G77" s="1248"/>
      <c r="H77" s="1248"/>
      <c r="I77" s="1248"/>
      <c r="J77" s="1248"/>
      <c r="K77" s="1248"/>
      <c r="L77" s="1248"/>
      <c r="M77" s="1248"/>
      <c r="N77" s="1248"/>
      <c r="O77" s="1248"/>
      <c r="P77" s="1248"/>
      <c r="Q77" s="1248"/>
      <c r="R77" s="1248"/>
      <c r="S77" s="518"/>
    </row>
    <row r="78" spans="1:26" ht="18" customHeight="1">
      <c r="A78" s="654"/>
      <c r="B78" s="504"/>
      <c r="C78" s="482"/>
      <c r="G78" s="1254">
        <f>G73</f>
        <v>0</v>
      </c>
      <c r="H78" s="1255"/>
      <c r="I78" s="476" t="s">
        <v>1066</v>
      </c>
      <c r="J78" s="1011">
        <f>G75</f>
        <v>0</v>
      </c>
      <c r="K78" s="1016"/>
      <c r="L78" s="476" t="s">
        <v>113</v>
      </c>
      <c r="M78" s="986" t="str">
        <f>IF(ISBLANK(G75),"",G73/G75)</f>
        <v/>
      </c>
      <c r="N78" s="987"/>
      <c r="O78" s="477" t="s">
        <v>97</v>
      </c>
      <c r="P78" s="476"/>
      <c r="S78" s="518"/>
      <c r="U78" s="509"/>
      <c r="V78" s="509"/>
      <c r="W78" s="476"/>
      <c r="X78" s="509"/>
      <c r="Y78" s="476"/>
      <c r="Z78" s="508"/>
    </row>
    <row r="79" spans="1:26" ht="6" customHeight="1">
      <c r="A79" s="654"/>
      <c r="G79" s="481"/>
      <c r="H79" s="481"/>
      <c r="I79" s="476"/>
      <c r="J79" s="476"/>
      <c r="K79" s="476"/>
      <c r="S79" s="518"/>
      <c r="T79" s="476"/>
    </row>
    <row r="80" spans="1:26" ht="18" customHeight="1">
      <c r="A80" s="654"/>
      <c r="B80" s="480" t="s">
        <v>540</v>
      </c>
      <c r="C80" s="477" t="s">
        <v>1049</v>
      </c>
      <c r="G80" s="481"/>
      <c r="H80" s="481"/>
      <c r="I80" s="476"/>
      <c r="J80" s="476"/>
      <c r="K80" s="476"/>
      <c r="L80" s="1249"/>
      <c r="M80" s="1250"/>
      <c r="N80" s="477" t="s">
        <v>97</v>
      </c>
      <c r="O80" s="693"/>
      <c r="P80" s="1278"/>
      <c r="Q80" s="1278"/>
      <c r="S80" s="518"/>
      <c r="T80" s="476"/>
    </row>
    <row r="81" spans="1:20" ht="6" customHeight="1">
      <c r="A81" s="654"/>
      <c r="G81" s="481"/>
      <c r="H81" s="481"/>
      <c r="I81" s="476"/>
      <c r="J81" s="476"/>
      <c r="K81" s="476"/>
      <c r="L81" s="478"/>
      <c r="M81" s="478"/>
      <c r="S81" s="518"/>
      <c r="T81" s="476"/>
    </row>
    <row r="82" spans="1:20" ht="18" customHeight="1">
      <c r="A82" s="654"/>
      <c r="B82" s="477" t="s">
        <v>541</v>
      </c>
      <c r="C82" s="477" t="s">
        <v>1050</v>
      </c>
      <c r="G82" s="481"/>
      <c r="H82" s="481"/>
      <c r="I82" s="476"/>
      <c r="J82" s="476"/>
      <c r="K82" s="476"/>
      <c r="L82" s="478"/>
      <c r="M82" s="478"/>
      <c r="S82" s="518"/>
      <c r="T82" s="476"/>
    </row>
    <row r="83" spans="1:20" ht="6" customHeight="1">
      <c r="A83" s="654"/>
      <c r="G83" s="481"/>
      <c r="H83" s="481"/>
      <c r="I83" s="476"/>
      <c r="J83" s="476"/>
      <c r="K83" s="476"/>
      <c r="L83" s="478"/>
      <c r="M83" s="478"/>
      <c r="S83" s="518"/>
      <c r="T83" s="476"/>
    </row>
    <row r="84" spans="1:20" ht="18" customHeight="1">
      <c r="A84" s="654"/>
      <c r="D84" s="986" t="str">
        <f>IF(ISBLANK(L80),"",M78)</f>
        <v/>
      </c>
      <c r="E84" s="987"/>
      <c r="F84" s="476" t="s">
        <v>782</v>
      </c>
      <c r="G84" s="986" t="str">
        <f>IF(ISBLANK(L80),"",L80)</f>
        <v/>
      </c>
      <c r="H84" s="987"/>
      <c r="I84" s="476" t="s">
        <v>113</v>
      </c>
      <c r="J84" s="1279" t="str">
        <f>IF(ISBLANK(L80),"",ROUNDUP((D84/G84),0))</f>
        <v/>
      </c>
      <c r="K84" s="1280"/>
      <c r="L84" s="475" t="s">
        <v>783</v>
      </c>
      <c r="M84" s="478"/>
      <c r="S84" s="518"/>
      <c r="T84" s="476"/>
    </row>
    <row r="85" spans="1:20" ht="6" customHeight="1">
      <c r="A85" s="654"/>
      <c r="G85" s="481"/>
      <c r="H85" s="481"/>
      <c r="I85" s="476"/>
      <c r="J85" s="476"/>
      <c r="K85" s="476"/>
      <c r="S85" s="518"/>
      <c r="T85" s="476"/>
    </row>
    <row r="86" spans="1:20" ht="18" customHeight="1">
      <c r="A86" s="654"/>
      <c r="B86" s="480" t="s">
        <v>542</v>
      </c>
      <c r="C86" s="482" t="s">
        <v>1051</v>
      </c>
      <c r="S86" s="518"/>
    </row>
    <row r="87" spans="1:20" ht="18" customHeight="1">
      <c r="A87" s="654"/>
      <c r="C87" s="482"/>
      <c r="D87" s="986" t="str">
        <f>IF(ISBLANK(J84), "",J84)</f>
        <v/>
      </c>
      <c r="E87" s="987"/>
      <c r="F87" s="477" t="s">
        <v>1047</v>
      </c>
      <c r="H87" s="490" t="s">
        <v>106</v>
      </c>
      <c r="I87" s="1011">
        <f>IF(ISBLANK(J84), " ",L80)</f>
        <v>0</v>
      </c>
      <c r="J87" s="1016"/>
      <c r="K87" s="996" t="s">
        <v>785</v>
      </c>
      <c r="L87" s="997"/>
      <c r="M87" s="1254" t="str">
        <f>IF(ISBLANK(G75),"", (D87*I87))</f>
        <v/>
      </c>
      <c r="N87" s="1275"/>
      <c r="O87" s="477" t="s">
        <v>97</v>
      </c>
      <c r="S87" s="518"/>
    </row>
    <row r="88" spans="1:20" ht="6" customHeight="1">
      <c r="A88" s="654"/>
      <c r="C88" s="482"/>
      <c r="N88" s="507"/>
      <c r="O88" s="507"/>
      <c r="S88" s="518"/>
    </row>
    <row r="89" spans="1:20" ht="18" customHeight="1">
      <c r="A89" s="654"/>
      <c r="B89" s="480" t="s">
        <v>598</v>
      </c>
      <c r="C89" s="482" t="s">
        <v>1125</v>
      </c>
      <c r="S89" s="518"/>
    </row>
    <row r="90" spans="1:20" ht="18" customHeight="1">
      <c r="A90" s="654"/>
      <c r="C90" s="482"/>
      <c r="G90" s="1276" t="str">
        <f>IF(ISBLANK(G69), "",H4)</f>
        <v/>
      </c>
      <c r="H90" s="1277"/>
      <c r="I90" s="476" t="s">
        <v>551</v>
      </c>
      <c r="J90" s="1011" t="str">
        <f>IF(ISBLANK(G71), " ",P8)</f>
        <v xml:space="preserve"> </v>
      </c>
      <c r="K90" s="1016"/>
      <c r="L90" s="996" t="s">
        <v>563</v>
      </c>
      <c r="M90" s="997"/>
      <c r="N90" s="1011" t="str">
        <f>IF(ISBLANK(G71),"", (G90/J90))</f>
        <v/>
      </c>
      <c r="O90" s="1012"/>
      <c r="P90" s="477" t="s">
        <v>97</v>
      </c>
      <c r="S90" s="518"/>
    </row>
    <row r="91" spans="1:20" ht="6" customHeight="1">
      <c r="A91" s="654"/>
      <c r="C91" s="482"/>
      <c r="S91" s="518"/>
    </row>
    <row r="92" spans="1:20" ht="18" customHeight="1">
      <c r="A92" s="654"/>
      <c r="B92" s="504" t="s">
        <v>599</v>
      </c>
      <c r="C92" s="482" t="s">
        <v>1052</v>
      </c>
      <c r="G92" s="986" t="str">
        <f>IF(ISBLANK(G71)," ",(M87/N90))</f>
        <v xml:space="preserve"> </v>
      </c>
      <c r="H92" s="987"/>
      <c r="I92" s="477" t="s">
        <v>1302</v>
      </c>
      <c r="M92" s="1148"/>
      <c r="N92" s="1149"/>
      <c r="O92" s="477" t="s">
        <v>1301</v>
      </c>
      <c r="P92" s="476"/>
      <c r="S92" s="518"/>
    </row>
    <row r="93" spans="1:20" ht="6" customHeight="1">
      <c r="A93" s="654"/>
      <c r="C93" s="482"/>
      <c r="S93" s="518"/>
    </row>
    <row r="94" spans="1:20" ht="18" customHeight="1">
      <c r="A94" s="654"/>
      <c r="B94" s="480" t="s">
        <v>600</v>
      </c>
      <c r="C94" s="482" t="s">
        <v>1281</v>
      </c>
      <c r="S94" s="518"/>
    </row>
    <row r="95" spans="1:20" ht="18" customHeight="1">
      <c r="A95" s="654"/>
      <c r="C95" s="482"/>
      <c r="G95" s="1276" t="str">
        <f>IF(ISBLANK(M92), "",M87)</f>
        <v/>
      </c>
      <c r="H95" s="1277"/>
      <c r="I95" s="476" t="s">
        <v>782</v>
      </c>
      <c r="J95" s="1254" t="str">
        <f>IF(ISBLANK(M92), " ",M92)</f>
        <v xml:space="preserve"> </v>
      </c>
      <c r="K95" s="1255"/>
      <c r="L95" s="996" t="s">
        <v>1282</v>
      </c>
      <c r="M95" s="997"/>
      <c r="N95" s="1011" t="str">
        <f>IF(ISBLANK(M92),"", (G95/J95))</f>
        <v/>
      </c>
      <c r="O95" s="1012"/>
      <c r="P95" s="477" t="s">
        <v>97</v>
      </c>
      <c r="S95" s="518"/>
    </row>
    <row r="96" spans="1:20" ht="6" customHeight="1">
      <c r="A96" s="654"/>
      <c r="C96" s="482"/>
      <c r="S96" s="518"/>
    </row>
    <row r="97" spans="1:20" ht="18" customHeight="1">
      <c r="A97" s="654"/>
      <c r="B97" s="504" t="s">
        <v>12</v>
      </c>
      <c r="C97" s="482" t="s">
        <v>1053</v>
      </c>
      <c r="G97" s="1249"/>
      <c r="H97" s="1250"/>
      <c r="I97" s="477" t="s">
        <v>97</v>
      </c>
      <c r="J97" s="477" t="s">
        <v>222</v>
      </c>
      <c r="N97" s="507"/>
      <c r="O97" s="507"/>
      <c r="P97" s="476"/>
      <c r="S97" s="518"/>
    </row>
    <row r="98" spans="1:20" ht="6" customHeight="1">
      <c r="A98" s="654"/>
      <c r="C98" s="482"/>
      <c r="N98" s="507"/>
      <c r="O98" s="507"/>
      <c r="S98" s="518"/>
    </row>
    <row r="99" spans="1:20" ht="18" customHeight="1">
      <c r="A99" s="654"/>
      <c r="B99" s="480" t="s">
        <v>13</v>
      </c>
      <c r="C99" s="482" t="s">
        <v>1063</v>
      </c>
      <c r="N99" s="507"/>
      <c r="O99" s="507"/>
      <c r="S99" s="518"/>
    </row>
    <row r="100" spans="1:20" ht="6" customHeight="1">
      <c r="A100" s="654"/>
      <c r="C100" s="482"/>
      <c r="S100" s="518"/>
    </row>
    <row r="101" spans="1:20" ht="18" customHeight="1">
      <c r="A101" s="654"/>
      <c r="G101" s="986" t="str">
        <f>M87</f>
        <v/>
      </c>
      <c r="H101" s="987"/>
      <c r="I101" s="476" t="s">
        <v>128</v>
      </c>
      <c r="J101" s="986" t="str">
        <f>IF(ISBLANK(G97), " ", G97)</f>
        <v xml:space="preserve"> </v>
      </c>
      <c r="K101" s="987"/>
      <c r="L101" s="476" t="s">
        <v>123</v>
      </c>
      <c r="N101" s="986" t="str">
        <f>IF(ISBLANK(G97), " ", (M78*G97))</f>
        <v xml:space="preserve"> </v>
      </c>
      <c r="O101" s="1265"/>
      <c r="P101" s="477" t="s">
        <v>32</v>
      </c>
      <c r="Q101" s="507"/>
      <c r="S101" s="518"/>
      <c r="T101" s="481"/>
    </row>
    <row r="102" spans="1:20" ht="5.45" customHeight="1">
      <c r="A102" s="654"/>
      <c r="S102" s="518"/>
    </row>
    <row r="103" spans="1:20" ht="12" customHeight="1">
      <c r="A103" s="654"/>
      <c r="B103" s="480" t="s">
        <v>39</v>
      </c>
      <c r="S103" s="518"/>
    </row>
    <row r="104" spans="1:20" ht="42.75" customHeight="1">
      <c r="A104" s="654"/>
      <c r="B104" s="1235"/>
      <c r="C104" s="1236"/>
      <c r="D104" s="1236"/>
      <c r="E104" s="1236"/>
      <c r="F104" s="1236"/>
      <c r="G104" s="1236"/>
      <c r="H104" s="1236"/>
      <c r="I104" s="1236"/>
      <c r="J104" s="1236"/>
      <c r="K104" s="1236"/>
      <c r="L104" s="1236"/>
      <c r="M104" s="1236"/>
      <c r="N104" s="1236"/>
      <c r="O104" s="1236"/>
      <c r="P104" s="1236"/>
      <c r="Q104" s="1236"/>
      <c r="R104" s="1237"/>
      <c r="S104" s="518"/>
    </row>
    <row r="105" spans="1:20" ht="42.75" customHeight="1">
      <c r="A105" s="654"/>
      <c r="B105" s="1238"/>
      <c r="C105" s="1239"/>
      <c r="D105" s="1239"/>
      <c r="E105" s="1239"/>
      <c r="F105" s="1239"/>
      <c r="G105" s="1239"/>
      <c r="H105" s="1239"/>
      <c r="I105" s="1239"/>
      <c r="J105" s="1239"/>
      <c r="K105" s="1239"/>
      <c r="L105" s="1239"/>
      <c r="M105" s="1239"/>
      <c r="N105" s="1239"/>
      <c r="O105" s="1239"/>
      <c r="P105" s="1239"/>
      <c r="Q105" s="1239"/>
      <c r="R105" s="1240"/>
      <c r="S105" s="518"/>
    </row>
    <row r="106" spans="1:20" ht="42.75" customHeight="1">
      <c r="A106" s="654"/>
      <c r="B106" s="1238"/>
      <c r="C106" s="1239"/>
      <c r="D106" s="1239"/>
      <c r="E106" s="1239"/>
      <c r="F106" s="1239"/>
      <c r="G106" s="1239"/>
      <c r="H106" s="1239"/>
      <c r="I106" s="1239"/>
      <c r="J106" s="1239"/>
      <c r="K106" s="1239"/>
      <c r="L106" s="1239"/>
      <c r="M106" s="1239"/>
      <c r="N106" s="1239"/>
      <c r="O106" s="1239"/>
      <c r="P106" s="1239"/>
      <c r="Q106" s="1239"/>
      <c r="R106" s="1240"/>
      <c r="S106" s="518"/>
    </row>
    <row r="107" spans="1:20" ht="42.75" customHeight="1">
      <c r="A107" s="654"/>
      <c r="B107" s="1241"/>
      <c r="C107" s="1242"/>
      <c r="D107" s="1242"/>
      <c r="E107" s="1242"/>
      <c r="F107" s="1242"/>
      <c r="G107" s="1242"/>
      <c r="H107" s="1242"/>
      <c r="I107" s="1242"/>
      <c r="J107" s="1242"/>
      <c r="K107" s="1242"/>
      <c r="L107" s="1242"/>
      <c r="M107" s="1242"/>
      <c r="N107" s="1242"/>
      <c r="O107" s="1242"/>
      <c r="P107" s="1242"/>
      <c r="Q107" s="1242"/>
      <c r="R107" s="1243"/>
      <c r="S107" s="518"/>
    </row>
    <row r="108" spans="1:20" ht="6" customHeight="1">
      <c r="A108" s="682"/>
      <c r="B108" s="683"/>
      <c r="C108" s="684"/>
      <c r="D108" s="684"/>
      <c r="E108" s="684"/>
      <c r="F108" s="684"/>
      <c r="G108" s="684"/>
      <c r="H108" s="684"/>
      <c r="I108" s="684"/>
      <c r="J108" s="684"/>
      <c r="K108" s="684"/>
      <c r="L108" s="684"/>
      <c r="M108" s="684"/>
      <c r="N108" s="684"/>
      <c r="O108" s="684"/>
      <c r="P108" s="684"/>
      <c r="Q108" s="684"/>
      <c r="R108" s="684"/>
      <c r="S108" s="685"/>
    </row>
  </sheetData>
  <sheetProtection sheet="1" objects="1" scenarios="1"/>
  <customSheetViews>
    <customSheetView guid="{D1431318-1DB8-4C45-813B-5A8065DFC797}" showPageBreaks="1" showGridLines="0" zeroValues="0" printArea="1" view="pageBreakPreview">
      <selection activeCell="P6" sqref="P6:Q6"/>
      <rowBreaks count="1" manualBreakCount="1">
        <brk id="59" max="18" man="1"/>
      </rowBreaks>
      <pageMargins left="0.4" right="0.4" top="0.4" bottom="0.4" header="0.4" footer="0.5"/>
      <printOptions horizontalCentered="1"/>
      <pageSetup scale="89" fitToHeight="2" orientation="portrait" blackAndWhite="1" r:id="rId1"/>
      <headerFooter alignWithMargins="0"/>
    </customSheetView>
  </customSheetViews>
  <mergeCells count="124">
    <mergeCell ref="C12:D12"/>
    <mergeCell ref="J29:K29"/>
    <mergeCell ref="K36:L36"/>
    <mergeCell ref="J25:K26"/>
    <mergeCell ref="F28:G28"/>
    <mergeCell ref="L30:M30"/>
    <mergeCell ref="H30:I30"/>
    <mergeCell ref="K32:L32"/>
    <mergeCell ref="G92:H92"/>
    <mergeCell ref="J42:K42"/>
    <mergeCell ref="G52:H52"/>
    <mergeCell ref="L62:M63"/>
    <mergeCell ref="M44:N44"/>
    <mergeCell ref="G32:H32"/>
    <mergeCell ref="G47:H47"/>
    <mergeCell ref="J47:K47"/>
    <mergeCell ref="L47:M47"/>
    <mergeCell ref="N47:O47"/>
    <mergeCell ref="D87:E87"/>
    <mergeCell ref="D84:E84"/>
    <mergeCell ref="G90:H90"/>
    <mergeCell ref="N90:O90"/>
    <mergeCell ref="G78:H78"/>
    <mergeCell ref="Q2:S2"/>
    <mergeCell ref="P6:Q6"/>
    <mergeCell ref="P8:Q8"/>
    <mergeCell ref="J2:K2"/>
    <mergeCell ref="M21:R21"/>
    <mergeCell ref="L28:M28"/>
    <mergeCell ref="M18:R18"/>
    <mergeCell ref="G44:H44"/>
    <mergeCell ref="J39:K39"/>
    <mergeCell ref="H6:I6"/>
    <mergeCell ref="J12:K12"/>
    <mergeCell ref="H29:I29"/>
    <mergeCell ref="F25:G26"/>
    <mergeCell ref="H27:I27"/>
    <mergeCell ref="H28:I28"/>
    <mergeCell ref="F29:G29"/>
    <mergeCell ref="F12:G12"/>
    <mergeCell ref="J30:K30"/>
    <mergeCell ref="F30:G30"/>
    <mergeCell ref="P80:Q80"/>
    <mergeCell ref="G84:H84"/>
    <mergeCell ref="J84:K84"/>
    <mergeCell ref="M78:N78"/>
    <mergeCell ref="N42:O42"/>
    <mergeCell ref="J67:K67"/>
    <mergeCell ref="L67:M67"/>
    <mergeCell ref="J65:K65"/>
    <mergeCell ref="F62:G63"/>
    <mergeCell ref="J62:K63"/>
    <mergeCell ref="G71:H71"/>
    <mergeCell ref="H66:I66"/>
    <mergeCell ref="J66:K66"/>
    <mergeCell ref="H64:I64"/>
    <mergeCell ref="K54:L54"/>
    <mergeCell ref="P57:Q57"/>
    <mergeCell ref="L66:M66"/>
    <mergeCell ref="J64:K64"/>
    <mergeCell ref="L57:M57"/>
    <mergeCell ref="G42:H42"/>
    <mergeCell ref="G49:H49"/>
    <mergeCell ref="G73:H73"/>
    <mergeCell ref="G75:H75"/>
    <mergeCell ref="J78:K78"/>
    <mergeCell ref="J101:K101"/>
    <mergeCell ref="N101:O101"/>
    <mergeCell ref="J90:K90"/>
    <mergeCell ref="I87:J87"/>
    <mergeCell ref="K87:L87"/>
    <mergeCell ref="M87:N87"/>
    <mergeCell ref="G95:H95"/>
    <mergeCell ref="J95:K95"/>
    <mergeCell ref="L95:M95"/>
    <mergeCell ref="N95:O95"/>
    <mergeCell ref="E1:M1"/>
    <mergeCell ref="M39:N39"/>
    <mergeCell ref="J52:K52"/>
    <mergeCell ref="G34:H34"/>
    <mergeCell ref="J28:K28"/>
    <mergeCell ref="C62:E63"/>
    <mergeCell ref="G36:H36"/>
    <mergeCell ref="C38:R38"/>
    <mergeCell ref="G39:H39"/>
    <mergeCell ref="N52:O52"/>
    <mergeCell ref="C25:E26"/>
    <mergeCell ref="C27:E30"/>
    <mergeCell ref="L27:M27"/>
    <mergeCell ref="L29:M29"/>
    <mergeCell ref="H2:I2"/>
    <mergeCell ref="J27:K27"/>
    <mergeCell ref="H4:I4"/>
    <mergeCell ref="H25:I26"/>
    <mergeCell ref="K6:O6"/>
    <mergeCell ref="H8:I8"/>
    <mergeCell ref="C10:Q10"/>
    <mergeCell ref="F27:G27"/>
    <mergeCell ref="L25:M26"/>
    <mergeCell ref="H12:I12"/>
    <mergeCell ref="B104:R107"/>
    <mergeCell ref="L42:M42"/>
    <mergeCell ref="C57:D57"/>
    <mergeCell ref="K75:L75"/>
    <mergeCell ref="C77:R77"/>
    <mergeCell ref="L80:M80"/>
    <mergeCell ref="F57:G57"/>
    <mergeCell ref="F65:G65"/>
    <mergeCell ref="H67:I67"/>
    <mergeCell ref="F67:G67"/>
    <mergeCell ref="H65:I65"/>
    <mergeCell ref="F66:G66"/>
    <mergeCell ref="H62:I63"/>
    <mergeCell ref="I57:J57"/>
    <mergeCell ref="C64:E67"/>
    <mergeCell ref="F64:G64"/>
    <mergeCell ref="K71:L71"/>
    <mergeCell ref="G69:M69"/>
    <mergeCell ref="L65:M65"/>
    <mergeCell ref="L64:M64"/>
    <mergeCell ref="G97:H97"/>
    <mergeCell ref="G101:H101"/>
    <mergeCell ref="M92:N92"/>
    <mergeCell ref="L90:M90"/>
  </mergeCells>
  <conditionalFormatting sqref="C21">
    <cfRule type="cellIs" dxfId="6" priority="1" stopIfTrue="1" operator="lessThanOrEqual">
      <formula>6</formula>
    </cfRule>
  </conditionalFormatting>
  <conditionalFormatting sqref="H6">
    <cfRule type="cellIs" dxfId="5" priority="6" stopIfTrue="1" operator="lessThanOrEqual">
      <formula>6</formula>
    </cfRule>
  </conditionalFormatting>
  <conditionalFormatting sqref="P20">
    <cfRule type="cellIs" dxfId="4" priority="2" stopIfTrue="1" operator="lessThanOrEqual">
      <formula>6</formula>
    </cfRule>
  </conditionalFormatting>
  <dataValidations count="8">
    <dataValidation type="whole" allowBlank="1" showInputMessage="1" showErrorMessage="1" sqref="G75:H75 G36:H36" xr:uid="{00000000-0002-0000-0400-000000000000}">
      <formula1>1</formula1>
      <formula2>36</formula2>
    </dataValidation>
    <dataValidation allowBlank="1" showInputMessage="1" sqref="K75 K36" xr:uid="{00000000-0002-0000-0400-000001000000}"/>
    <dataValidation type="whole" operator="greaterThan" allowBlank="1" showInputMessage="1" sqref="G97:H97 G49:H49" xr:uid="{00000000-0002-0000-0400-000002000000}">
      <formula1>3</formula1>
    </dataValidation>
    <dataValidation type="list" allowBlank="1" showInputMessage="1" showErrorMessage="1" sqref="T54" xr:uid="{00000000-0002-0000-0400-000003000000}">
      <formula1>#REF!</formula1>
    </dataValidation>
    <dataValidation type="list" allowBlank="1" showInputMessage="1" showErrorMessage="1" sqref="K54:L54" xr:uid="{00000000-0002-0000-0400-000004000000}">
      <formula1>"0.33, 0.5"</formula1>
    </dataValidation>
    <dataValidation type="list" allowBlank="1" showInputMessage="1" showErrorMessage="1" sqref="M92:N92" xr:uid="{00000000-0002-0000-0400-000005000000}">
      <formula1>CLR</formula1>
    </dataValidation>
    <dataValidation type="list" allowBlank="1" showInputMessage="1" sqref="M21:R21" xr:uid="{00000000-0002-0000-0400-000006000000}">
      <formula1>Sandy_Soil_Options</formula1>
    </dataValidation>
    <dataValidation type="list" allowBlank="1" showInputMessage="1" showErrorMessage="1" prompt="If soil texture is &quot;sand&quot; or &quot;loamy sand&quot;the system needs: Pressure, or Split into 15% size units or 5 feet of separation.  see 7080.2210 Subp 4 F" sqref="M44:N44" xr:uid="{00000000-0002-0000-0400-000007000000}">
      <formula1>CLR</formula1>
    </dataValidation>
  </dataValidations>
  <printOptions horizontalCentered="1"/>
  <pageMargins left="0.4" right="0.4" top="0.4" bottom="0.4" header="0.4" footer="0.5"/>
  <pageSetup scale="89" fitToHeight="2" orientation="portrait" blackAndWhite="1" r:id="rId2"/>
  <headerFooter alignWithMargins="0"/>
  <rowBreaks count="1" manualBreakCount="1">
    <brk id="59" max="18" man="1"/>
  </rowBreaks>
  <ignoredErrors>
    <ignoredError sqref="C27" unlockedFormula="1"/>
  </ignoredErrors>
  <drawing r:id="rId3"/>
  <legacyDrawing r:id="rId4"/>
  <controls>
    <mc:AlternateContent xmlns:mc="http://schemas.openxmlformats.org/markup-compatibility/2006">
      <mc:Choice Requires="x14">
        <control shapeId="2019329" r:id="rId5" name="CheckBox1">
          <controlPr locked="0" autoLine="0" linkedCell="V14" r:id="rId6">
            <anchor moveWithCells="1">
              <from>
                <xdr:col>6</xdr:col>
                <xdr:colOff>228600</xdr:colOff>
                <xdr:row>12</xdr:row>
                <xdr:rowOff>47625</xdr:rowOff>
              </from>
              <to>
                <xdr:col>9</xdr:col>
                <xdr:colOff>76200</xdr:colOff>
                <xdr:row>14</xdr:row>
                <xdr:rowOff>9525</xdr:rowOff>
              </to>
            </anchor>
          </controlPr>
        </control>
      </mc:Choice>
      <mc:Fallback>
        <control shapeId="2019329" r:id="rId5" name="CheckBox1"/>
      </mc:Fallback>
    </mc:AlternateContent>
    <mc:AlternateContent xmlns:mc="http://schemas.openxmlformats.org/markup-compatibility/2006">
      <mc:Choice Requires="x14">
        <control shapeId="2019330" r:id="rId7" name="CheckBox5">
          <controlPr locked="0" autoLine="0" linkedCell="V15" r:id="rId8">
            <anchor moveWithCells="1">
              <from>
                <xdr:col>6</xdr:col>
                <xdr:colOff>219075</xdr:colOff>
                <xdr:row>14</xdr:row>
                <xdr:rowOff>9525</xdr:rowOff>
              </from>
              <to>
                <xdr:col>10</xdr:col>
                <xdr:colOff>247650</xdr:colOff>
                <xdr:row>15</xdr:row>
                <xdr:rowOff>38100</xdr:rowOff>
              </to>
            </anchor>
          </controlPr>
        </control>
      </mc:Choice>
      <mc:Fallback>
        <control shapeId="2019330" r:id="rId7" name="CheckBox5"/>
      </mc:Fallback>
    </mc:AlternateContent>
    <mc:AlternateContent xmlns:mc="http://schemas.openxmlformats.org/markup-compatibility/2006">
      <mc:Choice Requires="x14">
        <control shapeId="2019331" r:id="rId9" name="CheckBox6">
          <controlPr autoLine="0" r:id="rId10">
            <anchor moveWithCells="1">
              <from>
                <xdr:col>6</xdr:col>
                <xdr:colOff>228600</xdr:colOff>
                <xdr:row>15</xdr:row>
                <xdr:rowOff>38100</xdr:rowOff>
              </from>
              <to>
                <xdr:col>8</xdr:col>
                <xdr:colOff>285750</xdr:colOff>
                <xdr:row>17</xdr:row>
                <xdr:rowOff>9525</xdr:rowOff>
              </to>
            </anchor>
          </controlPr>
        </control>
      </mc:Choice>
      <mc:Fallback>
        <control shapeId="2019331" r:id="rId9" name="CheckBox6"/>
      </mc:Fallback>
    </mc:AlternateContent>
    <mc:AlternateContent xmlns:mc="http://schemas.openxmlformats.org/markup-compatibility/2006">
      <mc:Choice Requires="x14">
        <control shapeId="2019332" r:id="rId11" name="CheckBox7">
          <controlPr autoLine="0" r:id="rId12">
            <anchor moveWithCells="1">
              <from>
                <xdr:col>9</xdr:col>
                <xdr:colOff>200025</xdr:colOff>
                <xdr:row>15</xdr:row>
                <xdr:rowOff>38100</xdr:rowOff>
              </from>
              <to>
                <xdr:col>12</xdr:col>
                <xdr:colOff>323850</xdr:colOff>
                <xdr:row>17</xdr:row>
                <xdr:rowOff>0</xdr:rowOff>
              </to>
            </anchor>
          </controlPr>
        </control>
      </mc:Choice>
      <mc:Fallback>
        <control shapeId="2019332" r:id="rId11" name="CheckBox7"/>
      </mc:Fallback>
    </mc:AlternateContent>
    <mc:AlternateContent xmlns:mc="http://schemas.openxmlformats.org/markup-compatibility/2006">
      <mc:Choice Requires="x14">
        <control shapeId="2019333" r:id="rId13" name="CheckBox8">
          <controlPr autoLine="0" r:id="rId14">
            <anchor moveWithCells="1">
              <from>
                <xdr:col>8</xdr:col>
                <xdr:colOff>219075</xdr:colOff>
                <xdr:row>17</xdr:row>
                <xdr:rowOff>9525</xdr:rowOff>
              </from>
              <to>
                <xdr:col>11</xdr:col>
                <xdr:colOff>295275</xdr:colOff>
                <xdr:row>18</xdr:row>
                <xdr:rowOff>38100</xdr:rowOff>
              </to>
            </anchor>
          </controlPr>
        </control>
      </mc:Choice>
      <mc:Fallback>
        <control shapeId="2019333" r:id="rId13" name="CheckBox8"/>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5">
    <tabColor indexed="47"/>
  </sheetPr>
  <dimension ref="A1:AT63"/>
  <sheetViews>
    <sheetView showGridLines="0" showZeros="0" view="pageBreakPreview" zoomScaleNormal="100" zoomScaleSheetLayoutView="100" workbookViewId="0">
      <selection activeCell="W42" sqref="W42"/>
    </sheetView>
  </sheetViews>
  <sheetFormatPr defaultColWidth="4.28515625" defaultRowHeight="14.1" customHeight="1"/>
  <cols>
    <col min="1" max="1" width="2.5703125" style="680" customWidth="1"/>
    <col min="2" max="2" width="2.5703125" style="480" customWidth="1"/>
    <col min="3" max="3" width="6.28515625" style="477" customWidth="1"/>
    <col min="4" max="16" width="5.7109375" style="477" customWidth="1"/>
    <col min="17" max="17" width="6.85546875" style="477" customWidth="1"/>
    <col min="18" max="18" width="5.7109375" style="477" customWidth="1"/>
    <col min="19" max="19" width="2" style="477" customWidth="1"/>
    <col min="20" max="36" width="5.7109375" style="477" customWidth="1"/>
    <col min="37" max="37" width="22.28515625" style="477" customWidth="1"/>
    <col min="38" max="38" width="10.7109375" style="477" customWidth="1"/>
    <col min="39" max="39" width="4.28515625" style="477"/>
    <col min="40" max="41" width="5.7109375" style="477" customWidth="1"/>
    <col min="42" max="42" width="4.7109375" style="477" bestFit="1" customWidth="1"/>
    <col min="43" max="45" width="4.28515625" style="477"/>
    <col min="46" max="46" width="4.7109375" style="477" bestFit="1" customWidth="1"/>
    <col min="47" max="16384" width="4.28515625" style="477"/>
  </cols>
  <sheetData>
    <row r="1" spans="1:21" s="664" customFormat="1" ht="64.150000000000006" customHeight="1" thickBot="1">
      <c r="B1" s="506"/>
      <c r="C1" s="506"/>
      <c r="D1" s="506"/>
      <c r="F1" s="1289" t="s">
        <v>875</v>
      </c>
      <c r="G1" s="1289"/>
      <c r="H1" s="1289"/>
      <c r="I1" s="1289"/>
      <c r="J1" s="1289"/>
      <c r="K1" s="1289"/>
      <c r="L1" s="1289"/>
      <c r="M1" s="701"/>
      <c r="N1" s="506"/>
      <c r="O1" s="506"/>
      <c r="P1" s="506"/>
      <c r="Q1" s="665"/>
      <c r="R1" s="665"/>
      <c r="S1" s="665"/>
      <c r="T1" s="665"/>
      <c r="U1" s="666"/>
    </row>
    <row r="2" spans="1:21" ht="16.350000000000001" customHeight="1" thickBot="1">
      <c r="A2" s="500" t="s">
        <v>93</v>
      </c>
      <c r="B2" s="499"/>
      <c r="C2" s="498" t="s">
        <v>532</v>
      </c>
      <c r="D2" s="497"/>
      <c r="E2" s="497"/>
      <c r="F2" s="497"/>
      <c r="G2" s="497"/>
      <c r="H2" s="1292" t="s">
        <v>832</v>
      </c>
      <c r="I2" s="1292"/>
      <c r="J2" s="1299" t="str">
        <f>IF(ISBLANK('Design Summary'!Q3)," ",'Design Summary'!Q3)</f>
        <v xml:space="preserve"> </v>
      </c>
      <c r="K2" s="1299"/>
      <c r="L2" s="497"/>
      <c r="M2" s="497"/>
      <c r="N2" s="497"/>
      <c r="O2" s="497"/>
      <c r="P2" s="497"/>
      <c r="Q2" s="1292" t="str">
        <f>'Drop-Down Lists'!J40</f>
        <v>v 04.20.2016</v>
      </c>
      <c r="R2" s="1292"/>
      <c r="S2" s="1300"/>
    </row>
    <row r="3" spans="1:21" ht="4.9000000000000004" customHeight="1">
      <c r="A3" s="667"/>
      <c r="B3" s="668"/>
      <c r="C3" s="669"/>
      <c r="D3" s="669"/>
      <c r="E3" s="669"/>
      <c r="F3" s="669"/>
      <c r="G3" s="669"/>
      <c r="H3" s="669"/>
      <c r="I3" s="669"/>
      <c r="J3" s="669"/>
      <c r="K3" s="669"/>
      <c r="L3" s="669"/>
      <c r="M3" s="669"/>
      <c r="N3" s="669"/>
      <c r="O3" s="669"/>
      <c r="P3" s="669"/>
      <c r="Q3" s="669"/>
      <c r="R3" s="669"/>
      <c r="S3" s="670"/>
    </row>
    <row r="4" spans="1:21" ht="18" customHeight="1">
      <c r="A4" s="487"/>
      <c r="B4" s="480" t="s">
        <v>154</v>
      </c>
      <c r="C4" s="477" t="s">
        <v>1077</v>
      </c>
      <c r="H4" s="986" t="str">
        <f>IF('Design Summary'!Y40=0,"",IF('Design Summary'!Y40=3,"",IF('Design Summary'!Y40=4,"",IF('Design Summary'!Y40=5,"",IF('Design Summary'!Y40=1,"",IF('Design Summary'!Y40=2,'Design Summary'!D9,""))))))</f>
        <v/>
      </c>
      <c r="I4" s="1268"/>
      <c r="J4" s="477" t="s">
        <v>317</v>
      </c>
      <c r="S4" s="486"/>
    </row>
    <row r="5" spans="1:21" ht="4.9000000000000004" customHeight="1">
      <c r="A5" s="487"/>
      <c r="M5" s="632"/>
      <c r="N5" s="632"/>
      <c r="O5" s="632"/>
      <c r="P5" s="632"/>
      <c r="Q5" s="632"/>
      <c r="R5" s="632"/>
      <c r="S5" s="486"/>
    </row>
    <row r="6" spans="1:21" ht="18" customHeight="1">
      <c r="A6" s="487"/>
      <c r="B6" s="505" t="s">
        <v>527</v>
      </c>
      <c r="C6" s="477" t="s">
        <v>1055</v>
      </c>
      <c r="H6" s="1279" t="str">
        <f>IF('Design Summary'!Y40=2,'Design Summary'!G58,"")</f>
        <v/>
      </c>
      <c r="I6" s="1268"/>
      <c r="J6" s="477" t="s">
        <v>538</v>
      </c>
      <c r="K6" s="1269" t="s">
        <v>956</v>
      </c>
      <c r="L6" s="1269"/>
      <c r="M6" s="1269"/>
      <c r="N6" s="1269"/>
      <c r="O6" s="1296"/>
      <c r="P6" s="1297"/>
      <c r="Q6" s="1298"/>
      <c r="R6" s="477" t="s">
        <v>538</v>
      </c>
      <c r="S6" s="671"/>
    </row>
    <row r="7" spans="1:21" ht="3.6" customHeight="1">
      <c r="A7" s="487"/>
      <c r="L7" s="673"/>
      <c r="M7" s="673"/>
      <c r="N7" s="673"/>
      <c r="O7" s="673"/>
      <c r="P7" s="673"/>
      <c r="Q7" s="673"/>
      <c r="R7" s="673"/>
      <c r="S7" s="687"/>
    </row>
    <row r="8" spans="1:21" ht="18" customHeight="1">
      <c r="A8" s="487"/>
      <c r="B8" s="480" t="s">
        <v>156</v>
      </c>
      <c r="C8" s="477" t="s">
        <v>1064</v>
      </c>
      <c r="H8" s="1244" t="str">
        <f>IF('Design Summary'!Y40=0,"",IF('Design Summary'!Y40=1,"",IF('Design Summary'!Y40=4,"",IF('Design Summary'!Y40=0,"",IF('Design Summary'!Y40=1,'Design Summary'!P52,IF('Design Summary'!Y40=2,'Design Summary'!P52,""))))))</f>
        <v/>
      </c>
      <c r="I8" s="1268"/>
      <c r="J8" s="477" t="s">
        <v>91</v>
      </c>
      <c r="K8" s="505"/>
      <c r="L8" s="688"/>
      <c r="M8" s="688"/>
      <c r="N8" s="688"/>
      <c r="O8" s="688"/>
      <c r="P8" s="688"/>
      <c r="Q8" s="688"/>
      <c r="R8" s="688"/>
      <c r="S8" s="687"/>
    </row>
    <row r="9" spans="1:21" ht="3.6" customHeight="1">
      <c r="A9" s="487"/>
      <c r="S9" s="486"/>
    </row>
    <row r="10" spans="1:21" ht="18" customHeight="1">
      <c r="A10" s="487"/>
      <c r="B10" s="504" t="s">
        <v>476</v>
      </c>
      <c r="C10" s="1247" t="s">
        <v>1065</v>
      </c>
      <c r="D10" s="1248"/>
      <c r="E10" s="1248"/>
      <c r="F10" s="1248"/>
      <c r="G10" s="1248"/>
      <c r="H10" s="1248"/>
      <c r="I10" s="1248"/>
      <c r="J10" s="1248"/>
      <c r="K10" s="1248"/>
      <c r="L10" s="1248"/>
      <c r="M10" s="1248"/>
      <c r="N10" s="1248"/>
      <c r="O10" s="1248"/>
      <c r="P10" s="1248"/>
      <c r="Q10" s="1248"/>
      <c r="S10" s="486"/>
    </row>
    <row r="11" spans="1:21" ht="18" customHeight="1">
      <c r="A11" s="487"/>
      <c r="B11" s="504"/>
      <c r="C11" s="1254" t="str">
        <f>H4</f>
        <v/>
      </c>
      <c r="D11" s="1255"/>
      <c r="E11" s="476" t="s">
        <v>552</v>
      </c>
      <c r="F11" s="1244" t="str">
        <f>H8</f>
        <v/>
      </c>
      <c r="G11" s="1245"/>
      <c r="H11" s="1290" t="s">
        <v>680</v>
      </c>
      <c r="I11" s="1291"/>
      <c r="J11" s="986" t="str">
        <f>IF('Design Summary'!Y40=0,"",IF('Design Summary'!Y40=3,"",IF('Design Summary'!Y40=4,"",IF('Design Summary'!Y40=5,"",(IF('Design Summary'!Y40=1,"",IF('Design Summary'!Y40=2,C11/F11)))))))</f>
        <v/>
      </c>
      <c r="K11" s="987"/>
      <c r="L11" s="477" t="s">
        <v>31</v>
      </c>
      <c r="S11" s="486"/>
    </row>
    <row r="12" spans="1:21" ht="4.9000000000000004" customHeight="1">
      <c r="A12" s="487"/>
      <c r="B12" s="504"/>
      <c r="C12" s="482"/>
      <c r="D12" s="482"/>
      <c r="E12" s="482"/>
      <c r="F12" s="482"/>
      <c r="G12" s="482"/>
      <c r="H12" s="482"/>
      <c r="L12" s="482"/>
      <c r="S12" s="486"/>
    </row>
    <row r="13" spans="1:21" ht="18" customHeight="1">
      <c r="A13" s="487"/>
      <c r="B13" s="504" t="s">
        <v>477</v>
      </c>
      <c r="C13" s="482" t="s">
        <v>1057</v>
      </c>
      <c r="D13" s="482"/>
      <c r="E13" s="482"/>
      <c r="I13" s="476"/>
      <c r="S13" s="486"/>
    </row>
    <row r="14" spans="1:21" ht="18" customHeight="1">
      <c r="A14" s="487"/>
      <c r="L14" s="1286"/>
      <c r="M14" s="1287"/>
      <c r="N14" s="1287"/>
      <c r="O14" s="1287"/>
      <c r="P14" s="1287"/>
      <c r="Q14" s="1287"/>
      <c r="R14" s="1288"/>
      <c r="S14" s="486"/>
    </row>
    <row r="15" spans="1:21" ht="3.6" customHeight="1">
      <c r="A15" s="487"/>
      <c r="B15" s="504"/>
      <c r="C15" s="482"/>
      <c r="D15" s="482"/>
      <c r="E15" s="482"/>
      <c r="F15" s="482"/>
      <c r="G15" s="482"/>
      <c r="H15" s="482"/>
      <c r="L15" s="482"/>
      <c r="S15" s="486"/>
    </row>
    <row r="16" spans="1:21" ht="18" customHeight="1">
      <c r="A16" s="487"/>
      <c r="B16" s="504" t="s">
        <v>539</v>
      </c>
      <c r="C16" s="482" t="s">
        <v>1068</v>
      </c>
      <c r="D16" s="482"/>
      <c r="E16" s="482"/>
      <c r="F16" s="482"/>
      <c r="G16" s="482"/>
      <c r="H16" s="482"/>
      <c r="L16" s="482"/>
      <c r="S16" s="486"/>
    </row>
    <row r="17" spans="1:44" ht="18" customHeight="1">
      <c r="A17" s="487"/>
      <c r="B17" s="477"/>
      <c r="D17" s="482"/>
      <c r="E17" s="482"/>
      <c r="I17" s="476"/>
      <c r="L17" s="1286"/>
      <c r="M17" s="1287"/>
      <c r="N17" s="1287"/>
      <c r="O17" s="1287"/>
      <c r="P17" s="1287"/>
      <c r="Q17" s="1287"/>
      <c r="R17" s="1288"/>
      <c r="S17" s="486"/>
    </row>
    <row r="18" spans="1:44" ht="18" customHeight="1">
      <c r="A18" s="487"/>
      <c r="B18" s="745" t="s">
        <v>540</v>
      </c>
      <c r="C18" s="746" t="s">
        <v>1161</v>
      </c>
      <c r="D18" s="746"/>
      <c r="E18" s="746"/>
      <c r="F18" s="746"/>
      <c r="G18" s="746"/>
      <c r="H18" s="747"/>
      <c r="I18" s="748"/>
      <c r="J18" s="746"/>
      <c r="K18" s="746"/>
      <c r="L18" s="746"/>
      <c r="M18" s="746"/>
      <c r="N18" s="746"/>
      <c r="O18" s="746"/>
      <c r="P18" s="753"/>
      <c r="Q18" s="753"/>
      <c r="R18" s="746"/>
      <c r="S18" s="754"/>
    </row>
    <row r="19" spans="1:44" ht="18" customHeight="1">
      <c r="A19" s="487"/>
      <c r="B19" s="745"/>
      <c r="C19" s="749" t="s">
        <v>1156</v>
      </c>
      <c r="D19" s="749"/>
      <c r="E19" s="750"/>
      <c r="F19" s="750"/>
      <c r="G19" s="750"/>
      <c r="H19" s="751"/>
      <c r="I19" s="752"/>
      <c r="J19" s="750"/>
      <c r="K19" s="750"/>
      <c r="L19" s="1249"/>
      <c r="M19" s="1285"/>
      <c r="N19" s="1285"/>
      <c r="O19" s="1285"/>
      <c r="P19" s="1285"/>
      <c r="Q19" s="1285"/>
      <c r="R19" s="1250"/>
      <c r="S19" s="671"/>
    </row>
    <row r="20" spans="1:44" ht="4.9000000000000004" customHeight="1" thickBot="1">
      <c r="A20" s="676"/>
      <c r="B20" s="503"/>
      <c r="C20" s="677"/>
      <c r="D20" s="677"/>
      <c r="E20" s="677"/>
      <c r="F20" s="677"/>
      <c r="G20" s="502"/>
      <c r="H20" s="502"/>
      <c r="I20" s="501"/>
      <c r="J20" s="501"/>
      <c r="K20" s="501"/>
      <c r="L20" s="677"/>
      <c r="M20" s="677"/>
      <c r="N20" s="677"/>
      <c r="O20" s="677"/>
      <c r="P20" s="677"/>
      <c r="Q20" s="677"/>
      <c r="R20" s="677"/>
      <c r="S20" s="678"/>
      <c r="T20" s="476"/>
    </row>
    <row r="21" spans="1:44" ht="18" customHeight="1" thickBot="1">
      <c r="A21" s="639" t="s">
        <v>94</v>
      </c>
      <c r="B21" s="640"/>
      <c r="C21" s="641" t="s">
        <v>78</v>
      </c>
      <c r="D21" s="642"/>
      <c r="E21" s="642"/>
      <c r="F21" s="642"/>
      <c r="G21" s="642"/>
      <c r="H21" s="642"/>
      <c r="I21" s="642"/>
      <c r="J21" s="642"/>
      <c r="K21" s="642"/>
      <c r="L21" s="642"/>
      <c r="M21" s="642"/>
      <c r="N21" s="642"/>
      <c r="O21" s="642"/>
      <c r="P21" s="642"/>
      <c r="Q21" s="642"/>
      <c r="R21" s="642"/>
      <c r="S21" s="643"/>
    </row>
    <row r="22" spans="1:44" ht="4.9000000000000004" customHeight="1">
      <c r="A22" s="689"/>
      <c r="B22" s="668"/>
      <c r="C22" s="690"/>
      <c r="D22" s="669"/>
      <c r="E22" s="669"/>
      <c r="F22" s="669"/>
      <c r="G22" s="669"/>
      <c r="H22" s="669"/>
      <c r="J22" s="495"/>
      <c r="K22" s="495"/>
      <c r="L22" s="495"/>
      <c r="M22" s="495"/>
      <c r="N22" s="495"/>
      <c r="O22" s="495"/>
      <c r="P22" s="495"/>
      <c r="Q22" s="495"/>
      <c r="R22" s="495"/>
      <c r="S22" s="670"/>
    </row>
    <row r="23" spans="1:44" ht="18" customHeight="1">
      <c r="A23" s="487"/>
      <c r="B23" s="480" t="s">
        <v>154</v>
      </c>
      <c r="C23" s="482" t="s">
        <v>1069</v>
      </c>
      <c r="D23" s="482"/>
      <c r="E23" s="482"/>
      <c r="G23" s="1293"/>
      <c r="H23" s="1294"/>
      <c r="J23" s="1295" t="s">
        <v>824</v>
      </c>
      <c r="K23" s="1295"/>
      <c r="L23" s="1295"/>
      <c r="M23" s="1295"/>
      <c r="N23" s="1295"/>
      <c r="O23" s="1295"/>
      <c r="P23" s="1295"/>
      <c r="Q23" s="1295"/>
      <c r="R23" s="1295"/>
      <c r="S23" s="486"/>
      <c r="T23" s="673"/>
      <c r="U23" s="673"/>
    </row>
    <row r="24" spans="1:44" ht="18" customHeight="1">
      <c r="A24" s="493"/>
      <c r="B24" s="480" t="s">
        <v>527</v>
      </c>
      <c r="C24" s="482" t="s">
        <v>1070</v>
      </c>
      <c r="D24" s="482"/>
      <c r="E24" s="482"/>
      <c r="J24" s="494"/>
      <c r="K24" s="494"/>
      <c r="S24" s="486"/>
    </row>
    <row r="25" spans="1:44" ht="18" customHeight="1">
      <c r="A25" s="487"/>
      <c r="D25" s="1011" t="str">
        <f>J11</f>
        <v/>
      </c>
      <c r="E25" s="1016"/>
      <c r="F25" s="484" t="s">
        <v>825</v>
      </c>
      <c r="G25" s="1276" t="str">
        <f>IF(ISBLANK(G23),"",G23)</f>
        <v/>
      </c>
      <c r="H25" s="1277"/>
      <c r="I25" s="482" t="s">
        <v>785</v>
      </c>
      <c r="J25" s="986" t="str">
        <f>IF(ISBLANK(G23),"",J11*G23)</f>
        <v/>
      </c>
      <c r="K25" s="987"/>
      <c r="L25" s="477" t="s">
        <v>31</v>
      </c>
      <c r="M25" s="483"/>
      <c r="N25" s="483"/>
      <c r="O25" s="483"/>
      <c r="P25" s="483"/>
      <c r="Q25" s="483"/>
      <c r="R25" s="483"/>
      <c r="S25" s="486"/>
      <c r="T25" s="492"/>
    </row>
    <row r="26" spans="1:44" ht="4.9000000000000004" customHeight="1">
      <c r="A26" s="487"/>
      <c r="C26" s="482"/>
      <c r="S26" s="486"/>
      <c r="T26" s="490"/>
    </row>
    <row r="27" spans="1:44" ht="18" customHeight="1">
      <c r="A27" s="487"/>
      <c r="B27" s="480" t="s">
        <v>156</v>
      </c>
      <c r="C27" s="482" t="s">
        <v>836</v>
      </c>
      <c r="D27" s="482"/>
      <c r="E27" s="482"/>
      <c r="G27" s="1249"/>
      <c r="H27" s="1250"/>
      <c r="I27" s="482" t="s">
        <v>97</v>
      </c>
      <c r="J27" s="764" t="s">
        <v>835</v>
      </c>
      <c r="S27" s="486"/>
      <c r="T27" s="490"/>
    </row>
    <row r="28" spans="1:44" ht="4.9000000000000004" customHeight="1">
      <c r="A28" s="487"/>
      <c r="J28" s="990"/>
      <c r="K28" s="990"/>
      <c r="L28" s="990"/>
      <c r="M28" s="990"/>
      <c r="N28" s="990"/>
      <c r="O28" s="990"/>
      <c r="P28" s="990"/>
      <c r="Q28" s="990"/>
      <c r="R28" s="990"/>
      <c r="S28" s="486"/>
      <c r="T28" s="490"/>
    </row>
    <row r="29" spans="1:44" ht="18" customHeight="1">
      <c r="A29" s="487"/>
      <c r="B29" s="480" t="s">
        <v>476</v>
      </c>
      <c r="C29" s="482" t="s">
        <v>1071</v>
      </c>
      <c r="D29" s="482"/>
      <c r="E29" s="482"/>
      <c r="G29" s="1249"/>
      <c r="H29" s="1250"/>
      <c r="I29" s="482" t="s">
        <v>97</v>
      </c>
      <c r="J29" s="990"/>
      <c r="K29" s="990"/>
      <c r="L29" s="990"/>
      <c r="M29" s="990"/>
      <c r="N29" s="990"/>
      <c r="O29" s="990"/>
      <c r="P29" s="990"/>
      <c r="Q29" s="990"/>
      <c r="R29" s="990"/>
      <c r="S29" s="486"/>
      <c r="T29" s="490"/>
    </row>
    <row r="30" spans="1:44" ht="18" customHeight="1">
      <c r="A30" s="487"/>
      <c r="B30" s="480" t="s">
        <v>477</v>
      </c>
      <c r="C30" s="477" t="s">
        <v>1072</v>
      </c>
      <c r="R30" s="482"/>
      <c r="S30" s="486"/>
      <c r="T30" s="490"/>
    </row>
    <row r="31" spans="1:44" ht="18" customHeight="1">
      <c r="A31" s="487"/>
      <c r="G31" s="1254">
        <f>MAX(J25,G27)</f>
        <v>0</v>
      </c>
      <c r="H31" s="1255"/>
      <c r="I31" s="484" t="s">
        <v>1078</v>
      </c>
      <c r="J31" s="1011">
        <f>G29</f>
        <v>0</v>
      </c>
      <c r="K31" s="1016"/>
      <c r="L31" s="484" t="s">
        <v>113</v>
      </c>
      <c r="M31" s="1276" t="str">
        <f>IF(ISBLANK(G23),"",G31/J31)</f>
        <v/>
      </c>
      <c r="N31" s="1277"/>
      <c r="O31" s="482" t="s">
        <v>868</v>
      </c>
      <c r="S31" s="486"/>
      <c r="T31" s="490"/>
    </row>
    <row r="32" spans="1:44" ht="4.9000000000000004" customHeight="1" thickBot="1">
      <c r="A32" s="487"/>
      <c r="S32" s="486"/>
      <c r="AL32" s="651"/>
      <c r="AN32" s="652"/>
      <c r="AO32" s="653"/>
      <c r="AP32" s="651"/>
      <c r="AR32" s="653"/>
    </row>
    <row r="33" spans="1:46" ht="18" customHeight="1" thickBot="1">
      <c r="A33" s="500" t="s">
        <v>148</v>
      </c>
      <c r="B33" s="499"/>
      <c r="C33" s="498" t="s">
        <v>1081</v>
      </c>
      <c r="D33" s="497"/>
      <c r="E33" s="497"/>
      <c r="F33" s="497"/>
      <c r="G33" s="497"/>
      <c r="H33" s="497"/>
      <c r="I33" s="497"/>
      <c r="J33" s="497"/>
      <c r="K33" s="497"/>
      <c r="L33" s="497"/>
      <c r="M33" s="497"/>
      <c r="N33" s="497"/>
      <c r="O33" s="497"/>
      <c r="P33" s="497"/>
      <c r="Q33" s="497"/>
      <c r="R33" s="497"/>
      <c r="S33" s="496"/>
      <c r="AL33" s="651"/>
      <c r="AN33" s="652"/>
      <c r="AO33" s="653"/>
      <c r="AP33" s="651"/>
      <c r="AR33" s="653"/>
    </row>
    <row r="34" spans="1:46" ht="18" customHeight="1">
      <c r="A34" s="487"/>
      <c r="B34" s="480" t="s">
        <v>154</v>
      </c>
      <c r="C34" s="482" t="s">
        <v>823</v>
      </c>
      <c r="D34" s="482"/>
      <c r="E34" s="482"/>
      <c r="G34" s="489"/>
      <c r="H34" s="489"/>
      <c r="I34" s="482"/>
      <c r="K34" s="488"/>
      <c r="L34" s="488"/>
      <c r="M34" s="482"/>
      <c r="S34" s="486"/>
      <c r="AL34" s="651"/>
      <c r="AN34" s="652"/>
      <c r="AO34" s="653"/>
      <c r="AP34" s="651"/>
      <c r="AR34" s="653"/>
    </row>
    <row r="35" spans="1:46" ht="18" customHeight="1">
      <c r="A35" s="487"/>
      <c r="C35" s="482"/>
      <c r="D35" s="482"/>
      <c r="E35" s="482"/>
      <c r="G35" s="1301"/>
      <c r="H35" s="1302"/>
      <c r="I35" s="482" t="s">
        <v>868</v>
      </c>
      <c r="K35" s="1303"/>
      <c r="L35" s="1303"/>
      <c r="M35" s="482"/>
      <c r="S35" s="486"/>
      <c r="AL35" s="651"/>
      <c r="AN35" s="652"/>
      <c r="AO35" s="653"/>
      <c r="AP35" s="651"/>
      <c r="AR35" s="653"/>
    </row>
    <row r="36" spans="1:46" ht="18" customHeight="1">
      <c r="A36" s="487"/>
      <c r="B36" s="480" t="s">
        <v>527</v>
      </c>
      <c r="C36" s="990" t="s">
        <v>1079</v>
      </c>
      <c r="D36" s="990"/>
      <c r="E36" s="990"/>
      <c r="F36" s="990"/>
      <c r="G36" s="990"/>
      <c r="H36" s="990"/>
      <c r="I36" s="990"/>
      <c r="J36" s="990"/>
      <c r="K36" s="990"/>
      <c r="L36" s="990"/>
      <c r="M36" s="990"/>
      <c r="N36" s="990"/>
      <c r="O36" s="990"/>
      <c r="P36" s="990"/>
      <c r="Q36" s="990"/>
      <c r="R36" s="990"/>
      <c r="S36" s="486"/>
      <c r="AO36" s="653"/>
      <c r="AT36" s="651"/>
    </row>
    <row r="37" spans="1:46" ht="18" customHeight="1">
      <c r="A37" s="487"/>
      <c r="C37" s="485" t="s">
        <v>314</v>
      </c>
      <c r="D37" s="1307" t="str">
        <f>IF(ISBLANK(G35), " ",G35)</f>
        <v xml:space="preserve"> </v>
      </c>
      <c r="E37" s="1308"/>
      <c r="F37" s="477" t="s">
        <v>794</v>
      </c>
      <c r="G37" s="1249"/>
      <c r="H37" s="1250"/>
      <c r="I37" s="477" t="s">
        <v>555</v>
      </c>
      <c r="J37" s="476" t="s">
        <v>106</v>
      </c>
      <c r="K37" s="1011" t="str">
        <f>IF(ISBLANK(G35),"",MAX(J25,G27))</f>
        <v/>
      </c>
      <c r="L37" s="1016"/>
      <c r="M37" s="476" t="s">
        <v>554</v>
      </c>
      <c r="N37" s="1254" t="str">
        <f>IF(ISBLANK(G35),"",(D37+G37)*K37)</f>
        <v/>
      </c>
      <c r="O37" s="1255"/>
      <c r="P37" s="483" t="s">
        <v>33</v>
      </c>
      <c r="S37" s="486"/>
      <c r="AT37" s="651"/>
    </row>
    <row r="38" spans="1:46" ht="3.6" customHeight="1">
      <c r="A38" s="487"/>
      <c r="S38" s="486"/>
    </row>
    <row r="39" spans="1:46" ht="18" customHeight="1">
      <c r="A39" s="487"/>
      <c r="B39" s="480" t="s">
        <v>156</v>
      </c>
      <c r="C39" s="477" t="s">
        <v>1073</v>
      </c>
      <c r="S39" s="486"/>
    </row>
    <row r="40" spans="1:46" ht="18" customHeight="1">
      <c r="A40" s="487"/>
      <c r="G40" s="1254" t="str">
        <f>N37</f>
        <v/>
      </c>
      <c r="H40" s="1255"/>
      <c r="I40" s="1304" t="s">
        <v>556</v>
      </c>
      <c r="J40" s="1305"/>
      <c r="K40" s="1306"/>
      <c r="L40" s="1254" t="str">
        <f>IF(ISBLANK(G35),"",G40/27)</f>
        <v/>
      </c>
      <c r="M40" s="1255"/>
      <c r="N40" s="483" t="s">
        <v>34</v>
      </c>
      <c r="S40" s="486"/>
    </row>
    <row r="41" spans="1:46" ht="4.9000000000000004" customHeight="1" thickBot="1">
      <c r="A41" s="487"/>
      <c r="S41" s="486"/>
    </row>
    <row r="42" spans="1:46" ht="18" customHeight="1" thickBot="1">
      <c r="A42" s="500" t="s">
        <v>149</v>
      </c>
      <c r="B42" s="499"/>
      <c r="C42" s="498" t="s">
        <v>1082</v>
      </c>
      <c r="D42" s="497"/>
      <c r="E42" s="497"/>
      <c r="F42" s="497"/>
      <c r="G42" s="497"/>
      <c r="H42" s="497"/>
      <c r="I42" s="497"/>
      <c r="J42" s="497"/>
      <c r="K42" s="497"/>
      <c r="L42" s="497"/>
      <c r="M42" s="497"/>
      <c r="N42" s="497"/>
      <c r="O42" s="497"/>
      <c r="P42" s="497"/>
      <c r="Q42" s="497"/>
      <c r="R42" s="497"/>
      <c r="S42" s="496"/>
    </row>
    <row r="43" spans="1:46" ht="4.9000000000000004" customHeight="1">
      <c r="A43" s="487"/>
      <c r="S43" s="486"/>
    </row>
    <row r="44" spans="1:46" ht="18" customHeight="1">
      <c r="A44" s="487"/>
      <c r="B44" s="480" t="s">
        <v>154</v>
      </c>
      <c r="C44" s="477" t="s">
        <v>885</v>
      </c>
      <c r="G44" s="1257"/>
      <c r="H44" s="1258"/>
      <c r="I44" s="1258"/>
      <c r="J44" s="1258"/>
      <c r="K44" s="1258"/>
      <c r="L44" s="1258"/>
      <c r="M44" s="1259"/>
      <c r="S44" s="486"/>
    </row>
    <row r="45" spans="1:46" ht="4.9000000000000004" customHeight="1">
      <c r="A45" s="487"/>
      <c r="S45" s="486"/>
    </row>
    <row r="46" spans="1:46" ht="18" customHeight="1">
      <c r="A46" s="487"/>
      <c r="B46" s="480" t="s">
        <v>527</v>
      </c>
      <c r="C46" s="477" t="s">
        <v>1214</v>
      </c>
      <c r="G46" s="481"/>
      <c r="H46" s="481"/>
      <c r="I46" s="476"/>
      <c r="J46" s="476"/>
      <c r="K46" s="476"/>
      <c r="L46" s="1249"/>
      <c r="M46" s="1250"/>
      <c r="N46" s="477" t="s">
        <v>97</v>
      </c>
      <c r="O46" s="482"/>
      <c r="P46" s="1309"/>
      <c r="Q46" s="1309"/>
      <c r="S46" s="486"/>
    </row>
    <row r="47" spans="1:46" ht="4.9000000000000004" customHeight="1">
      <c r="A47" s="487"/>
      <c r="O47" s="482"/>
      <c r="P47" s="693"/>
      <c r="Q47" s="693"/>
      <c r="S47" s="486"/>
    </row>
    <row r="48" spans="1:46" ht="18" customHeight="1">
      <c r="A48" s="487"/>
      <c r="B48" s="480" t="s">
        <v>156</v>
      </c>
      <c r="C48" s="477" t="s">
        <v>1215</v>
      </c>
      <c r="G48" s="481"/>
      <c r="H48" s="481"/>
      <c r="I48" s="476"/>
      <c r="J48" s="476"/>
      <c r="K48" s="476"/>
      <c r="L48" s="1249"/>
      <c r="M48" s="1250"/>
      <c r="N48" s="477" t="s">
        <v>97</v>
      </c>
      <c r="O48" s="482"/>
      <c r="P48" s="1309"/>
      <c r="Q48" s="1309"/>
      <c r="S48" s="486"/>
    </row>
    <row r="49" spans="1:19" ht="4.9000000000000004" customHeight="1">
      <c r="A49" s="487"/>
      <c r="S49" s="486"/>
    </row>
    <row r="50" spans="1:19" ht="19.149999999999999" customHeight="1">
      <c r="A50" s="487"/>
      <c r="B50" s="480" t="s">
        <v>1216</v>
      </c>
      <c r="C50" s="477" t="s">
        <v>1217</v>
      </c>
      <c r="L50" s="1249"/>
      <c r="M50" s="1250"/>
      <c r="N50" s="477" t="s">
        <v>99</v>
      </c>
      <c r="S50" s="486"/>
    </row>
    <row r="51" spans="1:19" ht="18" customHeight="1">
      <c r="A51" s="487"/>
      <c r="B51" s="480" t="s">
        <v>477</v>
      </c>
      <c r="C51" s="477" t="s">
        <v>1074</v>
      </c>
      <c r="G51" s="481"/>
      <c r="H51" s="481"/>
      <c r="I51" s="476"/>
      <c r="J51" s="476"/>
      <c r="K51" s="476"/>
      <c r="L51" s="478"/>
      <c r="M51" s="478"/>
      <c r="S51" s="486"/>
    </row>
    <row r="52" spans="1:19" ht="3.6" customHeight="1">
      <c r="A52" s="487"/>
      <c r="G52" s="481"/>
      <c r="H52" s="481"/>
      <c r="I52" s="476"/>
      <c r="J52" s="476"/>
      <c r="K52" s="476"/>
      <c r="L52" s="478"/>
      <c r="M52" s="478"/>
      <c r="S52" s="486"/>
    </row>
    <row r="53" spans="1:19" ht="18" customHeight="1">
      <c r="A53" s="487"/>
      <c r="D53" s="986" t="str">
        <f>IF(ISBLANK(L46),"",M31)</f>
        <v/>
      </c>
      <c r="E53" s="987"/>
      <c r="F53" s="476" t="s">
        <v>782</v>
      </c>
      <c r="G53" s="986" t="str">
        <f>IF(ISBLANK(L46),"",L46)</f>
        <v/>
      </c>
      <c r="H53" s="987"/>
      <c r="I53" s="476" t="s">
        <v>113</v>
      </c>
      <c r="J53" s="1279" t="str">
        <f>IF(ISBLANK(L46),"",ROUNDUP((D53/G53),0))</f>
        <v/>
      </c>
      <c r="K53" s="1280"/>
      <c r="L53" s="475" t="s">
        <v>783</v>
      </c>
      <c r="M53" s="478"/>
      <c r="S53" s="486"/>
    </row>
    <row r="54" spans="1:19" ht="3.6" customHeight="1">
      <c r="A54" s="487"/>
      <c r="S54" s="486"/>
    </row>
    <row r="55" spans="1:19" ht="18" customHeight="1">
      <c r="A55" s="487"/>
      <c r="B55" s="480" t="s">
        <v>539</v>
      </c>
      <c r="C55" s="482" t="s">
        <v>1067</v>
      </c>
      <c r="S55" s="486"/>
    </row>
    <row r="56" spans="1:19" ht="18" customHeight="1">
      <c r="A56" s="487"/>
      <c r="C56" s="482"/>
      <c r="D56" s="986" t="str">
        <f>IF(ISBLANK(J53), "",J53)</f>
        <v/>
      </c>
      <c r="E56" s="987"/>
      <c r="F56" s="477" t="s">
        <v>1047</v>
      </c>
      <c r="H56" s="490" t="s">
        <v>106</v>
      </c>
      <c r="I56" s="1011">
        <f>IF(ISBLANK(J53), " ",L46)</f>
        <v>0</v>
      </c>
      <c r="J56" s="1016"/>
      <c r="K56" s="996" t="s">
        <v>785</v>
      </c>
      <c r="L56" s="997"/>
      <c r="M56" s="1011" t="str">
        <f>IF(ISBLANK(L46),"", (D56*I56))</f>
        <v/>
      </c>
      <c r="N56" s="1012"/>
      <c r="O56" s="477" t="s">
        <v>97</v>
      </c>
      <c r="S56" s="486"/>
    </row>
    <row r="57" spans="1:19" ht="18" customHeight="1">
      <c r="A57" s="487"/>
      <c r="B57" s="480" t="s">
        <v>540</v>
      </c>
      <c r="C57" s="477" t="s">
        <v>1127</v>
      </c>
      <c r="G57" s="481"/>
      <c r="H57" s="481"/>
      <c r="I57" s="476"/>
      <c r="J57" s="476"/>
      <c r="K57" s="476"/>
      <c r="L57" s="478"/>
      <c r="M57" s="478"/>
      <c r="S57" s="486"/>
    </row>
    <row r="58" spans="1:19" ht="18" customHeight="1">
      <c r="A58" s="487"/>
      <c r="D58" s="986" t="str">
        <f>IF(ISBLANK(L46),"",G29)</f>
        <v/>
      </c>
      <c r="E58" s="987"/>
      <c r="F58" s="476" t="s">
        <v>784</v>
      </c>
      <c r="G58" s="986" t="str">
        <f>IF(ISBLANK(L46),"",L48)</f>
        <v/>
      </c>
      <c r="H58" s="987"/>
      <c r="I58" s="476" t="s">
        <v>785</v>
      </c>
      <c r="J58" s="1276" t="str">
        <f>IF(ISBLANK(L46),"",D58/G58)</f>
        <v/>
      </c>
      <c r="K58" s="1277"/>
      <c r="L58" s="479" t="s">
        <v>786</v>
      </c>
      <c r="M58" s="686" t="s">
        <v>1126</v>
      </c>
      <c r="S58" s="486"/>
    </row>
    <row r="59" spans="1:19" ht="3.6" customHeight="1">
      <c r="A59" s="487"/>
      <c r="S59" s="486"/>
    </row>
    <row r="60" spans="1:19" ht="18" customHeight="1">
      <c r="A60" s="487"/>
      <c r="B60" s="480" t="s">
        <v>541</v>
      </c>
      <c r="C60" s="477" t="s">
        <v>1076</v>
      </c>
      <c r="S60" s="486"/>
    </row>
    <row r="61" spans="1:19" ht="3.6" customHeight="1">
      <c r="A61" s="487"/>
      <c r="S61" s="486"/>
    </row>
    <row r="62" spans="1:19" ht="18" customHeight="1">
      <c r="A62" s="487"/>
      <c r="D62" s="986" t="str">
        <f>IF(ISBLANK(L46),"",J53)</f>
        <v/>
      </c>
      <c r="E62" s="987"/>
      <c r="F62" s="476" t="s">
        <v>106</v>
      </c>
      <c r="G62" s="986" t="str">
        <f>IF(ISBLANK(L46),"",(ROUNDUP((J58),0)))</f>
        <v/>
      </c>
      <c r="H62" s="987"/>
      <c r="I62" s="476" t="s">
        <v>787</v>
      </c>
      <c r="J62" s="986" t="str">
        <f>IF(ISBLANK(L46),"",D62*G62)</f>
        <v/>
      </c>
      <c r="K62" s="987"/>
      <c r="L62" s="475" t="s">
        <v>783</v>
      </c>
      <c r="S62" s="486"/>
    </row>
    <row r="63" spans="1:19" ht="3.6" customHeight="1" thickBot="1">
      <c r="A63" s="676"/>
      <c r="B63" s="503"/>
      <c r="C63" s="677"/>
      <c r="D63" s="677"/>
      <c r="E63" s="677"/>
      <c r="F63" s="677"/>
      <c r="G63" s="677"/>
      <c r="H63" s="677"/>
      <c r="I63" s="677"/>
      <c r="J63" s="677"/>
      <c r="K63" s="677"/>
      <c r="L63" s="677"/>
      <c r="M63" s="677"/>
      <c r="N63" s="677"/>
      <c r="O63" s="677"/>
      <c r="P63" s="677"/>
      <c r="Q63" s="677"/>
      <c r="R63" s="677"/>
      <c r="S63" s="678"/>
    </row>
  </sheetData>
  <sheetProtection sheet="1"/>
  <customSheetViews>
    <customSheetView guid="{D1431318-1DB8-4C45-813B-5A8065DFC797}" showPageBreaks="1" showGridLines="0" zeroValues="0" printArea="1" view="pageBreakPreview">
      <selection activeCell="P6" sqref="P6:Q6"/>
      <rowBreaks count="1" manualBreakCount="1">
        <brk id="63" max="18" man="1"/>
      </rowBreaks>
      <pageMargins left="0.4" right="0.4" top="0.4" bottom="0.4" header="0.4" footer="0.5"/>
      <printOptions horizontalCentered="1"/>
      <pageSetup scale="86" fitToHeight="2" orientation="portrait" blackAndWhite="1" r:id="rId1"/>
      <headerFooter alignWithMargins="0"/>
    </customSheetView>
  </customSheetViews>
  <mergeCells count="57">
    <mergeCell ref="M56:N56"/>
    <mergeCell ref="L48:M48"/>
    <mergeCell ref="L50:M50"/>
    <mergeCell ref="P48:Q48"/>
    <mergeCell ref="P46:Q46"/>
    <mergeCell ref="D62:E62"/>
    <mergeCell ref="G62:H62"/>
    <mergeCell ref="J62:K62"/>
    <mergeCell ref="J58:K58"/>
    <mergeCell ref="D53:E53"/>
    <mergeCell ref="G53:H53"/>
    <mergeCell ref="J53:K53"/>
    <mergeCell ref="D58:E58"/>
    <mergeCell ref="G58:H58"/>
    <mergeCell ref="D56:E56"/>
    <mergeCell ref="I56:J56"/>
    <mergeCell ref="K56:L56"/>
    <mergeCell ref="G35:H35"/>
    <mergeCell ref="K35:L35"/>
    <mergeCell ref="G27:H27"/>
    <mergeCell ref="L46:M46"/>
    <mergeCell ref="J28:R29"/>
    <mergeCell ref="G29:H29"/>
    <mergeCell ref="G31:H31"/>
    <mergeCell ref="I40:K40"/>
    <mergeCell ref="G40:H40"/>
    <mergeCell ref="G37:H37"/>
    <mergeCell ref="K37:L37"/>
    <mergeCell ref="C36:R36"/>
    <mergeCell ref="N37:O37"/>
    <mergeCell ref="L40:M40"/>
    <mergeCell ref="D37:E37"/>
    <mergeCell ref="G44:M44"/>
    <mergeCell ref="D25:E25"/>
    <mergeCell ref="G25:H25"/>
    <mergeCell ref="J25:K25"/>
    <mergeCell ref="J31:K31"/>
    <mergeCell ref="M31:N31"/>
    <mergeCell ref="G23:H23"/>
    <mergeCell ref="J23:R23"/>
    <mergeCell ref="K6:O6"/>
    <mergeCell ref="P6:Q6"/>
    <mergeCell ref="J2:K2"/>
    <mergeCell ref="Q2:S2"/>
    <mergeCell ref="H4:I4"/>
    <mergeCell ref="H6:I6"/>
    <mergeCell ref="L19:R19"/>
    <mergeCell ref="F1:L1"/>
    <mergeCell ref="L17:R17"/>
    <mergeCell ref="H8:I8"/>
    <mergeCell ref="C10:Q10"/>
    <mergeCell ref="C11:D11"/>
    <mergeCell ref="F11:G11"/>
    <mergeCell ref="H11:I11"/>
    <mergeCell ref="J11:K11"/>
    <mergeCell ref="L14:R14"/>
    <mergeCell ref="H2:I2"/>
  </mergeCells>
  <conditionalFormatting sqref="C19">
    <cfRule type="cellIs" dxfId="3" priority="1" stopIfTrue="1" operator="lessThanOrEqual">
      <formula>6</formula>
    </cfRule>
  </conditionalFormatting>
  <conditionalFormatting sqref="H6">
    <cfRule type="cellIs" dxfId="2" priority="5" stopIfTrue="1" operator="lessThanOrEqual">
      <formula>6</formula>
    </cfRule>
  </conditionalFormatting>
  <conditionalFormatting sqref="P6">
    <cfRule type="cellIs" dxfId="1" priority="3" stopIfTrue="1" operator="lessThanOrEqual">
      <formula>6</formula>
    </cfRule>
  </conditionalFormatting>
  <conditionalFormatting sqref="P18">
    <cfRule type="cellIs" dxfId="0" priority="2" stopIfTrue="1" operator="lessThanOrEqual">
      <formula>6</formula>
    </cfRule>
  </conditionalFormatting>
  <dataValidations count="6">
    <dataValidation type="decimal" allowBlank="1" showInputMessage="1" showErrorMessage="1" prompt="6&quot; minimum" sqref="G34" xr:uid="{00000000-0002-0000-0500-000000000000}">
      <formula1>6</formula1>
      <formula2>12</formula2>
    </dataValidation>
    <dataValidation type="list" allowBlank="1" showInputMessage="1" showErrorMessage="1" prompt="0.33 ft for pressure, 0.5 ft for gravity" sqref="G37:H37" xr:uid="{00000000-0002-0000-0500-000001000000}">
      <formula1>"0.33, 0.5"</formula1>
    </dataValidation>
    <dataValidation type="decimal" allowBlank="1" showInputMessage="1" showErrorMessage="1" error="Invalid Entry" prompt="Maximum width = 25 ft. (pressurized)                                            Maximum width = 12 ft. (gravity)" sqref="G29:H29" xr:uid="{00000000-0002-0000-0500-000002000000}">
      <formula1>3</formula1>
      <formula2>25</formula2>
    </dataValidation>
    <dataValidation type="list" allowBlank="1" showInputMessage="1" showErrorMessage="1" sqref="G23:H23" xr:uid="{00000000-0002-0000-0500-000003000000}">
      <formula1>"1.0,1.5"</formula1>
    </dataValidation>
    <dataValidation type="list" allowBlank="1" showInputMessage="1" sqref="L19:R19" xr:uid="{00000000-0002-0000-0500-000004000000}">
      <formula1>Sandy_Soil_Options</formula1>
    </dataValidation>
    <dataValidation type="list" allowBlank="1" showInputMessage="1" showErrorMessage="1" prompt="Feet of rock below the distribution pipe - .5'  minimum" sqref="G35:H35" xr:uid="{00000000-0002-0000-0500-000005000000}">
      <formula1>MediaDepth</formula1>
    </dataValidation>
  </dataValidations>
  <printOptions horizontalCentered="1"/>
  <pageMargins left="0.4" right="0.4" top="0.4" bottom="0.4" header="0.4" footer="0.5"/>
  <pageSetup scale="85" fitToHeight="2" orientation="portrait" blackAndWhite="1" r:id="rId2"/>
  <headerFooter alignWithMargins="0"/>
  <drawing r:id="rId3"/>
  <legacyDrawing r:id="rId4"/>
  <controls>
    <mc:AlternateContent xmlns:mc="http://schemas.openxmlformats.org/markup-compatibility/2006">
      <mc:Choice Requires="x14">
        <control shapeId="2018305" r:id="rId5" name="CheckBox6">
          <controlPr autoLine="0" r:id="rId6">
            <anchor moveWithCells="1">
              <from>
                <xdr:col>6</xdr:col>
                <xdr:colOff>19050</xdr:colOff>
                <xdr:row>12</xdr:row>
                <xdr:rowOff>9525</xdr:rowOff>
              </from>
              <to>
                <xdr:col>8</xdr:col>
                <xdr:colOff>123825</xdr:colOff>
                <xdr:row>13</xdr:row>
                <xdr:rowOff>19050</xdr:rowOff>
              </to>
            </anchor>
          </controlPr>
        </control>
      </mc:Choice>
      <mc:Fallback>
        <control shapeId="2018305" r:id="rId5" name="CheckBox6"/>
      </mc:Fallback>
    </mc:AlternateContent>
    <mc:AlternateContent xmlns:mc="http://schemas.openxmlformats.org/markup-compatibility/2006">
      <mc:Choice Requires="x14">
        <control shapeId="2018306" r:id="rId7" name="CheckBox8">
          <controlPr autoLine="0" r:id="rId8">
            <anchor moveWithCells="1">
              <from>
                <xdr:col>6</xdr:col>
                <xdr:colOff>19050</xdr:colOff>
                <xdr:row>13</xdr:row>
                <xdr:rowOff>0</xdr:rowOff>
              </from>
              <to>
                <xdr:col>7</xdr:col>
                <xdr:colOff>381000</xdr:colOff>
                <xdr:row>14</xdr:row>
                <xdr:rowOff>28575</xdr:rowOff>
              </to>
            </anchor>
          </controlPr>
        </control>
      </mc:Choice>
      <mc:Fallback>
        <control shapeId="2018306" r:id="rId7" name="CheckBox8"/>
      </mc:Fallback>
    </mc:AlternateContent>
    <mc:AlternateContent xmlns:mc="http://schemas.openxmlformats.org/markup-compatibility/2006">
      <mc:Choice Requires="x14">
        <control shapeId="2018307" r:id="rId9" name="CheckBox10">
          <controlPr autoLine="0" r:id="rId10">
            <anchor moveWithCells="1">
              <from>
                <xdr:col>6</xdr:col>
                <xdr:colOff>19050</xdr:colOff>
                <xdr:row>14</xdr:row>
                <xdr:rowOff>9525</xdr:rowOff>
              </from>
              <to>
                <xdr:col>8</xdr:col>
                <xdr:colOff>38100</xdr:colOff>
                <xdr:row>15</xdr:row>
                <xdr:rowOff>190500</xdr:rowOff>
              </to>
            </anchor>
          </controlPr>
        </control>
      </mc:Choice>
      <mc:Fallback>
        <control shapeId="2018307" r:id="rId9" name="CheckBox10"/>
      </mc:Fallback>
    </mc:AlternateContent>
    <mc:AlternateContent xmlns:mc="http://schemas.openxmlformats.org/markup-compatibility/2006">
      <mc:Choice Requires="x14">
        <control shapeId="2018308" r:id="rId11" name="CheckBox2">
          <controlPr autoLine="0" r:id="rId12">
            <anchor moveWithCells="1">
              <from>
                <xdr:col>6</xdr:col>
                <xdr:colOff>19050</xdr:colOff>
                <xdr:row>15</xdr:row>
                <xdr:rowOff>190500</xdr:rowOff>
              </from>
              <to>
                <xdr:col>8</xdr:col>
                <xdr:colOff>285750</xdr:colOff>
                <xdr:row>16</xdr:row>
                <xdr:rowOff>209550</xdr:rowOff>
              </to>
            </anchor>
          </controlPr>
        </control>
      </mc:Choice>
      <mc:Fallback>
        <control shapeId="2018308" r:id="rId11" name="CheckBox2"/>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tabColor rgb="FFFF3399"/>
  </sheetPr>
  <dimension ref="A1:BU213"/>
  <sheetViews>
    <sheetView view="pageBreakPreview" topLeftCell="A28" zoomScaleNormal="100" zoomScaleSheetLayoutView="100" workbookViewId="0">
      <selection activeCell="U43" sqref="U1:U1048576"/>
    </sheetView>
  </sheetViews>
  <sheetFormatPr defaultColWidth="8.85546875" defaultRowHeight="15"/>
  <cols>
    <col min="1" max="1" width="2.28515625" style="297" customWidth="1"/>
    <col min="2" max="2" width="2.5703125" style="311" customWidth="1"/>
    <col min="3" max="17" width="5.28515625" style="298" customWidth="1"/>
    <col min="18" max="18" width="5.28515625" style="285" customWidth="1"/>
    <col min="19" max="19" width="2.42578125" style="298" customWidth="1"/>
    <col min="20" max="20" width="2.5703125" style="298" customWidth="1"/>
    <col min="21" max="21" width="6.28515625" style="298" customWidth="1"/>
    <col min="22" max="35" width="5.7109375" style="298" customWidth="1"/>
    <col min="36" max="36" width="2" style="298" customWidth="1"/>
    <col min="37" max="16384" width="8.85546875" style="298"/>
  </cols>
  <sheetData>
    <row r="1" spans="1:37" ht="66" customHeight="1" thickBot="1">
      <c r="B1" s="325"/>
      <c r="C1" s="325"/>
      <c r="D1" s="325"/>
      <c r="E1" s="975" t="s">
        <v>1093</v>
      </c>
      <c r="F1" s="975"/>
      <c r="G1" s="975"/>
      <c r="H1" s="975"/>
      <c r="I1" s="975"/>
      <c r="J1" s="975"/>
      <c r="K1" s="975"/>
      <c r="L1" s="975"/>
      <c r="M1" s="975"/>
      <c r="N1" s="325"/>
      <c r="O1" s="322"/>
      <c r="P1" s="322"/>
      <c r="Q1" s="322"/>
      <c r="R1" s="323"/>
      <c r="AK1" s="290"/>
    </row>
    <row r="2" spans="1:37" ht="16.350000000000001" customHeight="1" thickBot="1">
      <c r="A2" s="425" t="s">
        <v>93</v>
      </c>
      <c r="B2" s="644"/>
      <c r="C2" s="389" t="s">
        <v>532</v>
      </c>
      <c r="D2" s="389"/>
      <c r="E2" s="389"/>
      <c r="F2" s="389"/>
      <c r="G2" s="389"/>
      <c r="H2" s="645"/>
      <c r="I2" s="983" t="s">
        <v>832</v>
      </c>
      <c r="J2" s="983"/>
      <c r="K2" s="978" t="str">
        <f>IF(ISBLANK('Design Summary'!Q3)," ",'Design Summary'!Q3)</f>
        <v xml:space="preserve"> </v>
      </c>
      <c r="L2" s="978"/>
      <c r="M2" s="645" t="str">
        <f>IF(ISBLANK('Design Summary'!J3)," ",'Design Summary'!J3)</f>
        <v xml:space="preserve"> </v>
      </c>
      <c r="N2" s="645"/>
      <c r="O2" s="645"/>
      <c r="P2" s="645"/>
      <c r="Q2" s="1000" t="str">
        <f>'Drop-Down Lists'!J40</f>
        <v>v 04.20.2016</v>
      </c>
      <c r="R2" s="1001"/>
      <c r="S2" s="290"/>
      <c r="T2" s="290"/>
      <c r="U2" s="290"/>
      <c r="V2" s="290"/>
      <c r="W2" s="290"/>
      <c r="X2" s="290"/>
      <c r="Y2" s="290"/>
      <c r="Z2" s="290"/>
      <c r="AA2" s="290"/>
      <c r="AB2" s="290"/>
    </row>
    <row r="3" spans="1:37" ht="3.6" customHeight="1">
      <c r="A3" s="314"/>
      <c r="R3" s="702"/>
    </row>
    <row r="4" spans="1:37" ht="19.899999999999999" customHeight="1">
      <c r="A4" s="314"/>
      <c r="B4" s="291" t="s">
        <v>154</v>
      </c>
      <c r="C4" s="285" t="s">
        <v>959</v>
      </c>
      <c r="D4" s="285"/>
      <c r="E4" s="285"/>
      <c r="F4" s="285"/>
      <c r="G4" s="285"/>
      <c r="H4" s="976" t="str">
        <f>IF('Design Summary'!Y40=0,"",IF('Design Summary'!Y40=4,'Design Summary'!D9,""))</f>
        <v/>
      </c>
      <c r="I4" s="977"/>
      <c r="J4" s="285" t="s">
        <v>317</v>
      </c>
      <c r="K4" s="285"/>
      <c r="M4" s="291"/>
      <c r="N4" s="291"/>
      <c r="O4" s="291"/>
      <c r="P4" s="291"/>
      <c r="Q4" s="291"/>
      <c r="R4" s="703"/>
      <c r="S4" s="291"/>
      <c r="U4" s="319"/>
      <c r="V4" s="319"/>
      <c r="W4" s="319"/>
      <c r="X4" s="319"/>
      <c r="Y4" s="319"/>
      <c r="Z4" s="319"/>
      <c r="AA4" s="319"/>
      <c r="AB4" s="319"/>
    </row>
    <row r="5" spans="1:37" ht="3.6" customHeight="1">
      <c r="A5" s="314"/>
      <c r="B5" s="291"/>
      <c r="C5" s="285"/>
      <c r="D5" s="285"/>
      <c r="E5" s="285"/>
      <c r="F5" s="285"/>
      <c r="G5" s="285"/>
      <c r="H5" s="288"/>
      <c r="I5" s="288"/>
      <c r="J5" s="285"/>
      <c r="K5" s="285"/>
      <c r="M5" s="291"/>
      <c r="N5" s="291"/>
      <c r="O5" s="291"/>
      <c r="P5" s="291"/>
      <c r="Q5" s="291"/>
      <c r="R5" s="703"/>
      <c r="S5" s="291"/>
      <c r="U5" s="319"/>
      <c r="V5" s="319"/>
      <c r="W5" s="319"/>
      <c r="X5" s="319"/>
      <c r="Y5" s="319"/>
      <c r="Z5" s="319"/>
      <c r="AA5" s="319"/>
      <c r="AB5" s="319"/>
    </row>
    <row r="6" spans="1:37" ht="19.899999999999999" customHeight="1">
      <c r="A6" s="314"/>
      <c r="B6" s="291" t="s">
        <v>527</v>
      </c>
      <c r="C6" s="285" t="s">
        <v>888</v>
      </c>
      <c r="D6" s="285"/>
      <c r="E6" s="285"/>
      <c r="F6" s="285"/>
      <c r="G6" s="285"/>
      <c r="H6" s="964" t="str">
        <f>IF('Design Summary'!Y40=0,"",IF('Design Summary'!Y40=4,'Design Summary'!P52,""))</f>
        <v/>
      </c>
      <c r="I6" s="974"/>
      <c r="J6" s="285" t="s">
        <v>91</v>
      </c>
      <c r="K6" s="285"/>
      <c r="M6" s="317"/>
      <c r="N6" s="317"/>
      <c r="O6" s="291"/>
      <c r="P6" s="291"/>
      <c r="Q6" s="291"/>
      <c r="R6" s="703"/>
      <c r="U6" s="318"/>
      <c r="V6" s="318"/>
      <c r="W6" s="318"/>
      <c r="X6" s="318"/>
      <c r="Y6" s="318"/>
      <c r="Z6" s="318"/>
      <c r="AA6" s="318"/>
      <c r="AB6" s="318"/>
    </row>
    <row r="7" spans="1:37" ht="3.6" customHeight="1">
      <c r="A7" s="314"/>
      <c r="B7" s="291"/>
      <c r="C7" s="285"/>
      <c r="D7" s="285"/>
      <c r="E7" s="285"/>
      <c r="F7" s="285"/>
      <c r="G7" s="285"/>
      <c r="H7" s="282"/>
      <c r="I7" s="282"/>
      <c r="J7" s="285"/>
      <c r="K7" s="285"/>
      <c r="L7" s="285"/>
      <c r="M7" s="317"/>
      <c r="N7" s="317"/>
      <c r="O7" s="291"/>
      <c r="P7" s="291"/>
      <c r="Q7" s="291"/>
      <c r="R7" s="703"/>
      <c r="U7" s="318"/>
      <c r="V7" s="318"/>
      <c r="W7" s="318"/>
      <c r="X7" s="318"/>
      <c r="Y7" s="318"/>
      <c r="Z7" s="318"/>
      <c r="AA7" s="318"/>
      <c r="AB7" s="318"/>
    </row>
    <row r="8" spans="1:37" ht="19.899999999999999" customHeight="1">
      <c r="A8" s="314"/>
      <c r="B8" s="291" t="s">
        <v>156</v>
      </c>
      <c r="C8" s="285" t="s">
        <v>77</v>
      </c>
      <c r="D8" s="285"/>
      <c r="E8" s="285"/>
      <c r="F8" s="285"/>
      <c r="G8" s="285"/>
      <c r="H8" s="959" t="str">
        <f>IF('Design Summary'!Y40=0,"",IF('Design Summary'!Y40=4,('Design Summary'!F50/12),""))</f>
        <v/>
      </c>
      <c r="I8" s="960"/>
      <c r="J8" s="285" t="s">
        <v>97</v>
      </c>
      <c r="M8" s="317"/>
      <c r="N8" s="317"/>
      <c r="O8" s="291"/>
      <c r="P8" s="291"/>
      <c r="Q8" s="291"/>
      <c r="R8" s="703"/>
      <c r="U8" s="285"/>
      <c r="V8" s="285"/>
      <c r="W8" s="285"/>
      <c r="X8" s="285"/>
      <c r="Y8" s="285"/>
      <c r="Z8" s="321"/>
      <c r="AA8" s="321"/>
    </row>
    <row r="9" spans="1:37" ht="3.6" customHeight="1">
      <c r="A9" s="314"/>
      <c r="B9" s="291"/>
      <c r="C9" s="285"/>
      <c r="D9" s="285"/>
      <c r="E9" s="285"/>
      <c r="F9" s="285"/>
      <c r="G9" s="285"/>
      <c r="H9" s="282"/>
      <c r="I9" s="282"/>
      <c r="J9" s="285"/>
      <c r="L9" s="285"/>
      <c r="M9" s="317"/>
      <c r="N9" s="317"/>
      <c r="O9" s="291"/>
      <c r="P9" s="291"/>
      <c r="Q9" s="291"/>
      <c r="R9" s="703"/>
      <c r="U9" s="285"/>
      <c r="V9" s="285"/>
      <c r="W9" s="285"/>
      <c r="X9" s="285"/>
      <c r="Y9" s="285"/>
      <c r="Z9" s="321"/>
      <c r="AA9" s="321"/>
    </row>
    <row r="10" spans="1:37" ht="19.899999999999999" customHeight="1">
      <c r="A10" s="314"/>
      <c r="B10" s="291" t="s">
        <v>476</v>
      </c>
      <c r="C10" s="285" t="s">
        <v>701</v>
      </c>
      <c r="D10" s="285"/>
      <c r="E10" s="285"/>
      <c r="F10" s="285"/>
      <c r="G10" s="285"/>
      <c r="H10" s="959" t="str">
        <f>IF('Design Summary'!Y40=0,"",IF('Design Summary'!Y40=4,'Design Summary'!F60,""))</f>
        <v/>
      </c>
      <c r="I10" s="960"/>
      <c r="J10" s="298" t="s">
        <v>526</v>
      </c>
      <c r="M10" s="317"/>
      <c r="N10" s="317"/>
      <c r="O10" s="291"/>
      <c r="P10" s="291"/>
      <c r="Q10" s="291"/>
      <c r="R10" s="703"/>
      <c r="U10" s="287"/>
      <c r="V10" s="287"/>
      <c r="W10" s="287"/>
      <c r="X10" s="287"/>
      <c r="Y10" s="287"/>
      <c r="Z10" s="281"/>
      <c r="AA10" s="281"/>
      <c r="AB10" s="281"/>
    </row>
    <row r="11" spans="1:37" ht="3.6" customHeight="1">
      <c r="A11" s="314"/>
      <c r="B11" s="291"/>
      <c r="C11" s="285"/>
      <c r="D11" s="285"/>
      <c r="E11" s="285"/>
      <c r="F11" s="285"/>
      <c r="G11" s="285"/>
      <c r="H11" s="321"/>
      <c r="I11" s="321"/>
      <c r="L11" s="285"/>
      <c r="M11" s="317"/>
      <c r="N11" s="317"/>
      <c r="O11" s="291"/>
      <c r="P11" s="291"/>
      <c r="Q11" s="291"/>
      <c r="R11" s="703"/>
      <c r="U11" s="287"/>
      <c r="V11" s="287"/>
      <c r="W11" s="287"/>
      <c r="X11" s="287"/>
      <c r="Y11" s="287"/>
      <c r="Z11" s="281"/>
      <c r="AA11" s="281"/>
      <c r="AB11" s="281"/>
    </row>
    <row r="12" spans="1:37" ht="19.899999999999999" customHeight="1">
      <c r="A12" s="314"/>
      <c r="B12" s="291" t="s">
        <v>477</v>
      </c>
      <c r="C12" s="285" t="s">
        <v>1333</v>
      </c>
      <c r="D12" s="285"/>
      <c r="E12" s="285"/>
      <c r="F12" s="285"/>
      <c r="G12" s="944"/>
      <c r="H12" s="965"/>
      <c r="I12" s="966"/>
      <c r="J12" s="298" t="s">
        <v>91</v>
      </c>
      <c r="M12" s="317"/>
      <c r="N12" s="317"/>
      <c r="O12" s="291"/>
      <c r="P12" s="291"/>
      <c r="Q12" s="291"/>
      <c r="R12" s="703"/>
    </row>
    <row r="13" spans="1:37" ht="3.6" customHeight="1">
      <c r="A13" s="314"/>
      <c r="B13" s="291"/>
      <c r="C13" s="285"/>
      <c r="D13" s="285"/>
      <c r="E13" s="285"/>
      <c r="F13" s="285"/>
      <c r="G13" s="285"/>
      <c r="H13" s="321"/>
      <c r="I13" s="321"/>
      <c r="L13" s="285"/>
      <c r="M13" s="317"/>
      <c r="N13" s="317"/>
      <c r="O13" s="291"/>
      <c r="P13" s="291"/>
      <c r="Q13" s="291"/>
      <c r="R13" s="703"/>
    </row>
    <row r="14" spans="1:37" ht="19.899999999999999" customHeight="1">
      <c r="A14" s="314"/>
      <c r="B14" s="307" t="s">
        <v>539</v>
      </c>
      <c r="C14" s="285" t="s">
        <v>1083</v>
      </c>
      <c r="D14" s="285"/>
      <c r="E14" s="285"/>
      <c r="F14" s="285"/>
      <c r="G14" s="285"/>
      <c r="H14" s="981"/>
      <c r="I14" s="982"/>
      <c r="M14" s="317"/>
      <c r="N14" s="317"/>
      <c r="O14" s="282"/>
      <c r="P14" s="282"/>
      <c r="Q14" s="282"/>
      <c r="R14" s="704"/>
    </row>
    <row r="15" spans="1:37" ht="3.6" customHeight="1">
      <c r="A15" s="314"/>
      <c r="B15" s="307"/>
      <c r="C15" s="285"/>
      <c r="D15" s="285"/>
      <c r="E15" s="285"/>
      <c r="F15" s="285"/>
      <c r="G15" s="285"/>
      <c r="H15" s="282"/>
      <c r="I15" s="282"/>
      <c r="J15" s="285"/>
      <c r="L15" s="317"/>
      <c r="M15" s="646"/>
      <c r="N15" s="317"/>
      <c r="O15" s="282"/>
      <c r="P15" s="282"/>
      <c r="Q15" s="282"/>
      <c r="R15" s="704"/>
    </row>
    <row r="16" spans="1:37" ht="18" customHeight="1">
      <c r="A16" s="314"/>
      <c r="B16" s="307"/>
      <c r="C16" s="285"/>
      <c r="D16" s="285"/>
      <c r="E16" s="285"/>
      <c r="F16" s="285"/>
      <c r="G16" s="285"/>
      <c r="H16" s="286"/>
      <c r="I16" s="286"/>
      <c r="J16" s="285"/>
      <c r="K16" s="285"/>
      <c r="R16" s="702"/>
      <c r="U16" s="318"/>
      <c r="V16" s="318"/>
      <c r="X16" s="318"/>
      <c r="Y16" s="318"/>
      <c r="Z16" s="318"/>
      <c r="AA16" s="318"/>
      <c r="AB16" s="318"/>
    </row>
    <row r="17" spans="1:28" ht="18" customHeight="1">
      <c r="A17" s="314"/>
      <c r="B17" s="307"/>
      <c r="C17" s="285"/>
      <c r="D17" s="285"/>
      <c r="E17" s="285"/>
      <c r="F17" s="285"/>
      <c r="G17" s="285"/>
      <c r="H17" s="286"/>
      <c r="I17" s="286"/>
      <c r="J17" s="285"/>
      <c r="K17" s="285"/>
      <c r="R17" s="702"/>
      <c r="U17" s="318"/>
      <c r="V17" s="318"/>
      <c r="X17" s="318"/>
      <c r="Y17" s="318"/>
      <c r="Z17" s="318"/>
      <c r="AA17" s="318"/>
      <c r="AB17" s="318"/>
    </row>
    <row r="18" spans="1:28" ht="18" customHeight="1">
      <c r="A18" s="314"/>
      <c r="B18" s="307"/>
      <c r="C18" s="285"/>
      <c r="D18" s="285"/>
      <c r="E18" s="285"/>
      <c r="F18" s="285"/>
      <c r="G18" s="285"/>
      <c r="H18" s="286"/>
      <c r="I18" s="286"/>
      <c r="J18" s="285"/>
      <c r="K18" s="285"/>
      <c r="R18" s="702"/>
      <c r="U18" s="318"/>
      <c r="V18" s="318"/>
      <c r="X18" s="318"/>
      <c r="Y18" s="318"/>
      <c r="Z18" s="318"/>
      <c r="AA18" s="318"/>
      <c r="AB18" s="318"/>
    </row>
    <row r="19" spans="1:28" ht="18" customHeight="1">
      <c r="A19" s="314"/>
      <c r="B19" s="307"/>
      <c r="C19" s="285"/>
      <c r="D19" s="285"/>
      <c r="E19" s="285"/>
      <c r="F19" s="285"/>
      <c r="G19" s="285"/>
      <c r="H19" s="286"/>
      <c r="I19" s="286"/>
      <c r="J19" s="285"/>
      <c r="K19" s="285"/>
      <c r="R19" s="702"/>
      <c r="U19" s="318"/>
      <c r="V19" s="318"/>
      <c r="X19" s="318"/>
      <c r="Y19" s="318"/>
      <c r="Z19" s="318"/>
      <c r="AA19" s="318"/>
      <c r="AB19" s="318"/>
    </row>
    <row r="20" spans="1:28" ht="18" customHeight="1">
      <c r="A20" s="314"/>
      <c r="B20" s="307"/>
      <c r="C20" s="285"/>
      <c r="D20" s="285"/>
      <c r="E20" s="285"/>
      <c r="F20" s="285"/>
      <c r="G20" s="285"/>
      <c r="H20" s="286"/>
      <c r="I20" s="286"/>
      <c r="J20" s="285"/>
      <c r="K20" s="285"/>
      <c r="R20" s="702"/>
      <c r="U20" s="318"/>
      <c r="V20" s="318"/>
      <c r="X20" s="318"/>
      <c r="Y20" s="318"/>
      <c r="Z20" s="318"/>
      <c r="AA20" s="318"/>
      <c r="AB20" s="318"/>
    </row>
    <row r="21" spans="1:28" ht="18" customHeight="1">
      <c r="A21" s="314"/>
      <c r="B21" s="307"/>
      <c r="C21" s="285"/>
      <c r="D21" s="285"/>
      <c r="E21" s="285"/>
      <c r="F21" s="285"/>
      <c r="G21" s="285"/>
      <c r="H21" s="286"/>
      <c r="I21" s="286"/>
      <c r="K21" s="1002" t="s">
        <v>800</v>
      </c>
      <c r="L21" s="1002"/>
      <c r="M21" s="1002"/>
      <c r="N21" s="1002"/>
      <c r="O21" s="1002"/>
      <c r="P21" s="1002"/>
      <c r="Q21" s="1002"/>
      <c r="R21" s="1003"/>
      <c r="AB21" s="647"/>
    </row>
    <row r="22" spans="1:28" ht="18" customHeight="1" thickBot="1">
      <c r="A22" s="314"/>
      <c r="B22" s="307"/>
      <c r="C22" s="285"/>
      <c r="D22" s="285"/>
      <c r="E22" s="285"/>
      <c r="F22" s="285"/>
      <c r="G22" s="285"/>
      <c r="H22" s="286"/>
      <c r="I22" s="286"/>
      <c r="J22" s="428"/>
      <c r="K22" s="1004"/>
      <c r="L22" s="1004"/>
      <c r="M22" s="1004"/>
      <c r="N22" s="1004"/>
      <c r="O22" s="1004"/>
      <c r="P22" s="1004"/>
      <c r="Q22" s="1004"/>
      <c r="R22" s="1005"/>
      <c r="AB22" s="647"/>
    </row>
    <row r="23" spans="1:28" ht="18" customHeight="1">
      <c r="A23" s="314"/>
      <c r="B23" s="307"/>
      <c r="C23" s="285"/>
      <c r="D23" s="285"/>
      <c r="E23" s="285"/>
      <c r="F23" s="285"/>
      <c r="G23" s="285"/>
      <c r="H23" s="286"/>
      <c r="I23" s="286"/>
      <c r="J23" s="231"/>
      <c r="K23" s="1006"/>
      <c r="L23" s="1006"/>
      <c r="M23" s="1006"/>
      <c r="N23" s="1006"/>
      <c r="O23" s="1006"/>
      <c r="P23" s="1006"/>
      <c r="Q23" s="1006"/>
      <c r="R23" s="1007"/>
      <c r="T23" s="647"/>
      <c r="U23" s="647"/>
      <c r="V23" s="647"/>
      <c r="W23" s="647"/>
      <c r="X23" s="647"/>
      <c r="Y23" s="647"/>
      <c r="Z23" s="647"/>
      <c r="AA23" s="647"/>
      <c r="AB23" s="647"/>
    </row>
    <row r="24" spans="1:28" ht="9" customHeight="1" thickBot="1">
      <c r="A24" s="313"/>
      <c r="B24" s="331"/>
      <c r="C24" s="330"/>
      <c r="D24" s="330"/>
      <c r="E24" s="330"/>
      <c r="F24" s="330"/>
      <c r="G24" s="330"/>
      <c r="H24" s="330"/>
      <c r="I24" s="330"/>
      <c r="J24" s="330"/>
      <c r="K24" s="330"/>
      <c r="L24" s="330"/>
      <c r="M24" s="330"/>
      <c r="N24" s="330"/>
      <c r="O24" s="330"/>
      <c r="P24" s="330"/>
      <c r="Q24" s="330"/>
      <c r="R24" s="706"/>
      <c r="T24" s="647"/>
      <c r="U24" s="647"/>
      <c r="V24" s="647"/>
      <c r="W24" s="647"/>
      <c r="X24" s="647"/>
      <c r="Y24" s="647"/>
      <c r="Z24" s="647"/>
      <c r="AA24" s="647"/>
      <c r="AB24" s="647"/>
    </row>
    <row r="25" spans="1:28" ht="16.350000000000001" customHeight="1" thickBot="1">
      <c r="A25" s="391" t="s">
        <v>94</v>
      </c>
      <c r="B25" s="644"/>
      <c r="C25" s="389" t="s">
        <v>71</v>
      </c>
      <c r="D25" s="389"/>
      <c r="E25" s="389"/>
      <c r="F25" s="389"/>
      <c r="G25" s="389"/>
      <c r="H25" s="389"/>
      <c r="I25" s="389"/>
      <c r="J25" s="389"/>
      <c r="K25" s="389"/>
      <c r="L25" s="389"/>
      <c r="M25" s="389"/>
      <c r="N25" s="389"/>
      <c r="O25" s="389"/>
      <c r="P25" s="389"/>
      <c r="Q25" s="648"/>
      <c r="R25" s="649"/>
      <c r="U25" s="318"/>
      <c r="V25" s="318"/>
      <c r="W25" s="318"/>
      <c r="X25" s="318"/>
      <c r="Y25" s="318"/>
      <c r="Z25" s="318"/>
      <c r="AA25" s="318"/>
      <c r="AB25" s="318"/>
    </row>
    <row r="26" spans="1:28" ht="6" customHeight="1">
      <c r="A26" s="370"/>
      <c r="B26" s="371"/>
      <c r="C26" s="372"/>
      <c r="D26" s="372"/>
      <c r="E26" s="372"/>
      <c r="F26" s="372"/>
      <c r="G26" s="372"/>
      <c r="H26" s="372"/>
      <c r="I26" s="372"/>
      <c r="J26" s="372"/>
      <c r="K26" s="372"/>
      <c r="L26" s="372"/>
      <c r="M26" s="372"/>
      <c r="N26" s="372"/>
      <c r="O26" s="372"/>
      <c r="P26" s="372"/>
      <c r="Q26" s="372"/>
      <c r="R26" s="711"/>
      <c r="U26" s="287"/>
      <c r="V26" s="287"/>
      <c r="W26" s="318"/>
      <c r="X26" s="318"/>
      <c r="Y26" s="318"/>
      <c r="Z26" s="318"/>
      <c r="AA26" s="287"/>
      <c r="AB26" s="287"/>
    </row>
    <row r="27" spans="1:28" ht="18" customHeight="1">
      <c r="A27" s="314"/>
      <c r="B27" s="300" t="s">
        <v>154</v>
      </c>
      <c r="C27" s="285" t="s">
        <v>1087</v>
      </c>
      <c r="D27" s="285"/>
      <c r="E27" s="285"/>
      <c r="F27" s="285"/>
      <c r="G27" s="285"/>
      <c r="H27" s="285"/>
      <c r="I27" s="285"/>
      <c r="J27" s="285"/>
      <c r="K27" s="285"/>
      <c r="L27" s="285"/>
      <c r="M27" s="285"/>
      <c r="N27" s="285"/>
      <c r="O27" s="285"/>
      <c r="P27" s="285"/>
      <c r="R27" s="702"/>
      <c r="AB27" s="287"/>
    </row>
    <row r="28" spans="1:28" ht="19.899999999999999" customHeight="1">
      <c r="A28" s="314"/>
      <c r="D28" s="979" t="str">
        <f>IF(ISBLANK(H4),"",H4)</f>
        <v/>
      </c>
      <c r="E28" s="980"/>
      <c r="F28" s="984" t="s">
        <v>1104</v>
      </c>
      <c r="G28" s="985"/>
      <c r="H28" s="959" t="str">
        <f>IF(ISBLANK(H12),"",H12)</f>
        <v/>
      </c>
      <c r="I28" s="960"/>
      <c r="J28" s="285" t="s">
        <v>36</v>
      </c>
      <c r="L28" s="976" t="str">
        <f>IF(ISBLANK(H12),"",D28/H28)</f>
        <v/>
      </c>
      <c r="M28" s="1008"/>
      <c r="N28" s="285" t="s">
        <v>31</v>
      </c>
      <c r="R28" s="333"/>
      <c r="AA28" s="287"/>
      <c r="AB28" s="287"/>
    </row>
    <row r="29" spans="1:28" ht="6" customHeight="1">
      <c r="A29" s="314"/>
      <c r="C29" s="638"/>
      <c r="D29" s="638"/>
      <c r="E29" s="638"/>
      <c r="F29" s="638"/>
      <c r="G29" s="317"/>
      <c r="R29" s="702"/>
    </row>
    <row r="30" spans="1:28" ht="19.899999999999999" customHeight="1">
      <c r="A30" s="314"/>
      <c r="B30" s="988" t="s">
        <v>72</v>
      </c>
      <c r="C30" s="988"/>
      <c r="D30" s="988"/>
      <c r="E30" s="988"/>
      <c r="F30" s="988"/>
      <c r="G30" s="988"/>
      <c r="H30" s="988"/>
      <c r="I30" s="988"/>
      <c r="J30" s="988"/>
      <c r="K30" s="989"/>
      <c r="L30" s="1009"/>
      <c r="M30" s="1010"/>
      <c r="N30" s="285" t="s">
        <v>31</v>
      </c>
      <c r="R30" s="702"/>
    </row>
    <row r="31" spans="1:28" ht="6" customHeight="1">
      <c r="A31" s="314"/>
      <c r="B31" s="290"/>
      <c r="C31" s="317"/>
      <c r="D31" s="317"/>
      <c r="E31" s="317"/>
      <c r="F31" s="317"/>
      <c r="G31" s="317"/>
      <c r="H31" s="317"/>
      <c r="I31" s="317"/>
      <c r="J31" s="317"/>
      <c r="K31" s="286"/>
      <c r="L31" s="286"/>
      <c r="M31" s="287"/>
      <c r="P31" s="285"/>
      <c r="R31" s="702"/>
    </row>
    <row r="32" spans="1:28" ht="19.899999999999999" customHeight="1">
      <c r="A32" s="314"/>
      <c r="B32" s="300" t="s">
        <v>527</v>
      </c>
      <c r="C32" s="285" t="s">
        <v>1334</v>
      </c>
      <c r="D32" s="285"/>
      <c r="E32" s="285"/>
      <c r="F32" s="285"/>
      <c r="H32" s="1018"/>
      <c r="I32" s="1019"/>
      <c r="J32" s="285" t="s">
        <v>97</v>
      </c>
      <c r="K32" s="950" t="s">
        <v>1339</v>
      </c>
      <c r="L32" s="944"/>
      <c r="M32" s="945"/>
      <c r="N32" s="945"/>
      <c r="R32" s="702"/>
    </row>
    <row r="33" spans="1:43" ht="18" customHeight="1">
      <c r="A33" s="314"/>
      <c r="B33" s="300" t="s">
        <v>156</v>
      </c>
      <c r="C33" s="285" t="s">
        <v>1131</v>
      </c>
      <c r="D33" s="285"/>
      <c r="E33" s="285"/>
      <c r="F33" s="285"/>
      <c r="G33" s="285"/>
      <c r="H33" s="285"/>
      <c r="I33" s="285"/>
      <c r="J33" s="285"/>
      <c r="K33" s="285"/>
      <c r="L33" s="285"/>
      <c r="M33" s="285"/>
      <c r="R33" s="702"/>
    </row>
    <row r="34" spans="1:43" ht="19.899999999999999" customHeight="1">
      <c r="A34" s="314"/>
      <c r="B34" s="300"/>
      <c r="D34" s="976" t="str">
        <f>IF(ISBLANK(H32),"",H32)</f>
        <v/>
      </c>
      <c r="E34" s="977"/>
      <c r="F34" s="285" t="s">
        <v>1130</v>
      </c>
      <c r="G34" s="959" t="str">
        <f>IF(ISBLANK(H28), "", H28)</f>
        <v/>
      </c>
      <c r="H34" s="960"/>
      <c r="I34" s="285" t="s">
        <v>36</v>
      </c>
      <c r="K34" s="959" t="str">
        <f>IF(ISBLANK(H32),"",D34*G34)</f>
        <v/>
      </c>
      <c r="L34" s="960"/>
      <c r="M34" s="285" t="s">
        <v>1045</v>
      </c>
      <c r="O34" s="718" t="s">
        <v>1088</v>
      </c>
      <c r="R34" s="333"/>
    </row>
    <row r="35" spans="1:43" ht="18" customHeight="1">
      <c r="A35" s="314"/>
      <c r="B35" s="300" t="s">
        <v>476</v>
      </c>
      <c r="C35" s="285" t="s">
        <v>1089</v>
      </c>
      <c r="D35" s="285"/>
      <c r="E35" s="285"/>
      <c r="F35" s="285"/>
      <c r="G35" s="285"/>
      <c r="H35" s="285"/>
      <c r="I35" s="285"/>
      <c r="J35" s="285"/>
      <c r="K35" s="285"/>
      <c r="L35" s="285"/>
      <c r="M35" s="285"/>
      <c r="R35" s="702"/>
    </row>
    <row r="36" spans="1:43" ht="19.899999999999999" customHeight="1">
      <c r="A36" s="314"/>
      <c r="B36" s="300"/>
      <c r="D36" s="976" t="str">
        <f>IF(ISBLANK(H12),"",MAX(L28,L30))</f>
        <v/>
      </c>
      <c r="E36" s="977"/>
      <c r="F36" s="285" t="s">
        <v>1128</v>
      </c>
      <c r="G36" s="976" t="str">
        <f>IF(ISBLANK(H32), "", H32)</f>
        <v/>
      </c>
      <c r="H36" s="977"/>
      <c r="I36" s="285" t="s">
        <v>123</v>
      </c>
      <c r="J36" s="959" t="str">
        <f>IF(ISBLANK(H32),"",D36/G36)</f>
        <v/>
      </c>
      <c r="K36" s="960"/>
      <c r="L36" s="285" t="s">
        <v>97</v>
      </c>
      <c r="R36" s="702"/>
    </row>
    <row r="37" spans="1:43" ht="6" customHeight="1" thickBot="1">
      <c r="A37" s="313"/>
      <c r="B37" s="331"/>
      <c r="C37" s="330"/>
      <c r="D37" s="330"/>
      <c r="E37" s="330"/>
      <c r="F37" s="330"/>
      <c r="G37" s="330"/>
      <c r="H37" s="330"/>
      <c r="I37" s="330"/>
      <c r="J37" s="330"/>
      <c r="K37" s="330"/>
      <c r="L37" s="330"/>
      <c r="M37" s="295"/>
      <c r="N37" s="295"/>
      <c r="O37" s="284"/>
      <c r="P37" s="295"/>
      <c r="Q37" s="295"/>
      <c r="R37" s="706"/>
    </row>
    <row r="38" spans="1:43" ht="16.350000000000001" customHeight="1" thickBot="1">
      <c r="A38" s="650" t="s">
        <v>148</v>
      </c>
      <c r="B38" s="644"/>
      <c r="C38" s="389" t="s">
        <v>1101</v>
      </c>
      <c r="D38" s="389"/>
      <c r="E38" s="389"/>
      <c r="F38" s="389"/>
      <c r="G38" s="389"/>
      <c r="H38" s="389"/>
      <c r="I38" s="389"/>
      <c r="J38" s="389"/>
      <c r="K38" s="389"/>
      <c r="L38" s="389"/>
      <c r="M38" s="389"/>
      <c r="N38" s="389"/>
      <c r="O38" s="389"/>
      <c r="P38" s="389"/>
      <c r="Q38" s="389"/>
      <c r="R38" s="390"/>
      <c r="S38" s="290"/>
      <c r="T38" s="290"/>
      <c r="U38" s="290"/>
      <c r="V38" s="290"/>
      <c r="W38" s="290"/>
      <c r="X38" s="290"/>
      <c r="Y38" s="290"/>
      <c r="Z38" s="290"/>
      <c r="AA38" s="290"/>
      <c r="AB38" s="290"/>
    </row>
    <row r="39" spans="1:43" ht="6" customHeight="1">
      <c r="A39" s="370"/>
      <c r="B39" s="371"/>
      <c r="C39" s="372"/>
      <c r="D39" s="372"/>
      <c r="E39" s="372"/>
      <c r="F39" s="372"/>
      <c r="G39" s="372"/>
      <c r="H39" s="372"/>
      <c r="I39" s="372"/>
      <c r="J39" s="372"/>
      <c r="K39" s="372"/>
      <c r="L39" s="372"/>
      <c r="M39" s="712"/>
      <c r="N39" s="712"/>
      <c r="O39" s="713"/>
      <c r="P39" s="712"/>
      <c r="Q39" s="712"/>
      <c r="R39" s="711"/>
    </row>
    <row r="40" spans="1:43" ht="18" customHeight="1">
      <c r="A40" s="314"/>
      <c r="B40" s="297" t="s">
        <v>154</v>
      </c>
      <c r="C40" s="298" t="s">
        <v>1085</v>
      </c>
      <c r="M40" s="286"/>
      <c r="R40" s="702"/>
    </row>
    <row r="41" spans="1:43" ht="19.899999999999999" customHeight="1">
      <c r="A41" s="314"/>
      <c r="B41" s="297"/>
      <c r="D41" s="954">
        <f>H32</f>
        <v>0</v>
      </c>
      <c r="E41" s="955"/>
      <c r="F41" s="285" t="s">
        <v>128</v>
      </c>
      <c r="G41" s="992">
        <f>H14</f>
        <v>0</v>
      </c>
      <c r="H41" s="993"/>
      <c r="I41" s="287" t="s">
        <v>107</v>
      </c>
      <c r="J41" s="954" t="str">
        <f>IF(ISBLANK(H12),"",D41*G41)</f>
        <v/>
      </c>
      <c r="K41" s="955"/>
      <c r="L41" s="285" t="s">
        <v>97</v>
      </c>
      <c r="R41" s="702"/>
    </row>
    <row r="42" spans="1:43" ht="6" customHeight="1">
      <c r="A42" s="314"/>
      <c r="B42" s="297"/>
      <c r="C42" s="286"/>
      <c r="D42" s="286"/>
      <c r="E42" s="287"/>
      <c r="F42" s="286"/>
      <c r="G42" s="286"/>
      <c r="H42" s="287"/>
      <c r="I42" s="286"/>
      <c r="J42" s="286"/>
      <c r="K42" s="287"/>
      <c r="R42" s="702"/>
    </row>
    <row r="43" spans="1:43" ht="18" customHeight="1">
      <c r="A43" s="314"/>
      <c r="B43" s="297" t="s">
        <v>527</v>
      </c>
      <c r="C43" s="298" t="s">
        <v>1086</v>
      </c>
      <c r="R43" s="702"/>
    </row>
    <row r="44" spans="1:43" ht="18" customHeight="1">
      <c r="A44" s="314"/>
      <c r="B44" s="298"/>
      <c r="C44" s="298" t="s">
        <v>1094</v>
      </c>
      <c r="R44" s="702"/>
    </row>
    <row r="45" spans="1:43" ht="19.899999999999999" customHeight="1">
      <c r="A45" s="314"/>
      <c r="B45" s="297"/>
      <c r="C45" s="315" t="s">
        <v>314</v>
      </c>
      <c r="D45" s="954" t="str">
        <f>J41</f>
        <v/>
      </c>
      <c r="E45" s="955"/>
      <c r="F45" s="285" t="s">
        <v>607</v>
      </c>
      <c r="G45" s="954">
        <f>H32</f>
        <v>0</v>
      </c>
      <c r="H45" s="955"/>
      <c r="I45" s="285" t="s">
        <v>1103</v>
      </c>
      <c r="J45" s="353">
        <v>2</v>
      </c>
      <c r="K45" s="287" t="s">
        <v>107</v>
      </c>
      <c r="L45" s="959" t="str">
        <f>IF(ISBLANK(H12),"",(D45-G45)/J45)</f>
        <v/>
      </c>
      <c r="M45" s="960"/>
      <c r="N45" s="285" t="s">
        <v>97</v>
      </c>
      <c r="R45" s="333"/>
    </row>
    <row r="46" spans="1:43" ht="6" customHeight="1" thickBot="1">
      <c r="A46" s="313"/>
      <c r="B46" s="331"/>
      <c r="C46" s="295"/>
      <c r="D46" s="295"/>
      <c r="E46" s="284"/>
      <c r="F46" s="295"/>
      <c r="G46" s="295"/>
      <c r="H46" s="330"/>
      <c r="I46" s="330"/>
      <c r="J46" s="330"/>
      <c r="K46" s="330"/>
      <c r="L46" s="330"/>
      <c r="M46" s="330"/>
      <c r="N46" s="330"/>
      <c r="O46" s="330"/>
      <c r="P46" s="330"/>
      <c r="Q46" s="330"/>
      <c r="R46" s="706"/>
    </row>
    <row r="47" spans="1:43" s="477" customFormat="1" ht="18" customHeight="1" thickBot="1">
      <c r="A47" s="500" t="s">
        <v>471</v>
      </c>
      <c r="B47" s="499"/>
      <c r="C47" s="498" t="s">
        <v>1330</v>
      </c>
      <c r="D47" s="497"/>
      <c r="E47" s="497"/>
      <c r="F47" s="497"/>
      <c r="G47" s="497"/>
      <c r="H47" s="497"/>
      <c r="I47" s="497"/>
      <c r="J47" s="497"/>
      <c r="K47" s="497"/>
      <c r="L47" s="497"/>
      <c r="M47" s="497"/>
      <c r="N47" s="497"/>
      <c r="O47" s="497"/>
      <c r="P47" s="497"/>
      <c r="Q47" s="497"/>
      <c r="R47" s="496"/>
      <c r="AK47" s="651"/>
      <c r="AM47" s="652"/>
      <c r="AN47" s="653"/>
      <c r="AO47" s="651"/>
      <c r="AQ47" s="653"/>
    </row>
    <row r="48" spans="1:43" s="477" customFormat="1" ht="4.9000000000000004" customHeight="1">
      <c r="A48" s="487"/>
      <c r="B48" s="480"/>
      <c r="R48" s="486"/>
      <c r="AK48" s="651"/>
      <c r="AM48" s="652"/>
      <c r="AN48" s="653"/>
      <c r="AO48" s="651"/>
      <c r="AQ48" s="653"/>
    </row>
    <row r="49" spans="1:45" s="477" customFormat="1" ht="18" customHeight="1">
      <c r="A49" s="487"/>
      <c r="B49" s="480" t="s">
        <v>154</v>
      </c>
      <c r="C49" s="990" t="s">
        <v>1271</v>
      </c>
      <c r="D49" s="990"/>
      <c r="E49" s="990"/>
      <c r="F49" s="990"/>
      <c r="G49" s="990"/>
      <c r="H49" s="990"/>
      <c r="I49" s="990"/>
      <c r="J49" s="990"/>
      <c r="K49" s="990"/>
      <c r="L49" s="990"/>
      <c r="M49" s="990"/>
      <c r="N49" s="990"/>
      <c r="O49" s="990"/>
      <c r="P49" s="990"/>
      <c r="Q49" s="990"/>
      <c r="R49" s="991"/>
      <c r="AN49" s="653"/>
      <c r="AS49" s="651"/>
    </row>
    <row r="50" spans="1:45" s="477" customFormat="1" ht="3.6" customHeight="1">
      <c r="A50" s="487"/>
      <c r="B50" s="480"/>
      <c r="R50" s="486"/>
      <c r="AK50" s="651"/>
      <c r="AM50" s="652"/>
      <c r="AN50" s="653"/>
      <c r="AO50" s="651"/>
      <c r="AQ50" s="653"/>
    </row>
    <row r="51" spans="1:45" s="477" customFormat="1" ht="18" customHeight="1">
      <c r="A51" s="487"/>
      <c r="B51" s="480"/>
      <c r="C51" s="981"/>
      <c r="D51" s="982"/>
      <c r="E51" s="507" t="s">
        <v>97</v>
      </c>
      <c r="F51" s="1020"/>
      <c r="G51" s="1020"/>
      <c r="H51" s="963" t="s">
        <v>1272</v>
      </c>
      <c r="I51" s="963"/>
      <c r="J51" s="963"/>
      <c r="K51" s="963"/>
      <c r="L51" s="963"/>
      <c r="M51" s="963"/>
      <c r="N51" s="963"/>
      <c r="O51" s="963"/>
      <c r="P51" s="963"/>
      <c r="Q51" s="963"/>
      <c r="R51" s="921"/>
      <c r="V51" s="1017"/>
      <c r="W51" s="1017"/>
      <c r="AS51" s="651"/>
    </row>
    <row r="52" spans="1:45" s="477" customFormat="1" ht="3.6" customHeight="1" thickBot="1">
      <c r="A52" s="676"/>
      <c r="B52" s="503"/>
      <c r="C52" s="677"/>
      <c r="D52" s="677"/>
      <c r="E52" s="677"/>
      <c r="F52" s="677"/>
      <c r="G52" s="677"/>
      <c r="H52" s="677"/>
      <c r="I52" s="677"/>
      <c r="J52" s="677"/>
      <c r="K52" s="677"/>
      <c r="L52" s="677"/>
      <c r="M52" s="677"/>
      <c r="N52" s="677"/>
      <c r="O52" s="677"/>
      <c r="P52" s="677"/>
      <c r="Q52" s="677"/>
      <c r="R52" s="678"/>
    </row>
    <row r="53" spans="1:45" s="477" customFormat="1" ht="18" customHeight="1" thickBot="1">
      <c r="A53" s="639" t="s">
        <v>96</v>
      </c>
      <c r="B53" s="640"/>
      <c r="C53" s="641" t="s">
        <v>1108</v>
      </c>
      <c r="D53" s="642"/>
      <c r="E53" s="642"/>
      <c r="F53" s="642"/>
      <c r="G53" s="642"/>
      <c r="H53" s="642"/>
      <c r="I53" s="642"/>
      <c r="J53" s="642"/>
      <c r="K53" s="642"/>
      <c r="L53" s="642"/>
      <c r="M53" s="642"/>
      <c r="N53" s="642"/>
      <c r="O53" s="642"/>
      <c r="P53" s="642"/>
      <c r="Q53" s="642"/>
      <c r="R53" s="643"/>
      <c r="AK53" s="651"/>
      <c r="AM53" s="652"/>
      <c r="AN53" s="653"/>
      <c r="AO53" s="651"/>
      <c r="AQ53" s="653"/>
    </row>
    <row r="54" spans="1:45" s="477" customFormat="1" ht="4.9000000000000004" customHeight="1">
      <c r="A54" s="667"/>
      <c r="B54" s="668"/>
      <c r="C54" s="669"/>
      <c r="D54" s="669"/>
      <c r="E54" s="669"/>
      <c r="F54" s="669"/>
      <c r="G54" s="669"/>
      <c r="H54" s="669"/>
      <c r="I54" s="669"/>
      <c r="J54" s="669"/>
      <c r="K54" s="669"/>
      <c r="L54" s="669"/>
      <c r="M54" s="669"/>
      <c r="N54" s="669"/>
      <c r="O54" s="669"/>
      <c r="P54" s="669"/>
      <c r="Q54" s="669"/>
      <c r="R54" s="670"/>
      <c r="AK54" s="651"/>
      <c r="AM54" s="652"/>
      <c r="AN54" s="653"/>
      <c r="AO54" s="651"/>
      <c r="AQ54" s="653"/>
    </row>
    <row r="55" spans="1:45" ht="18" customHeight="1">
      <c r="A55" s="314"/>
      <c r="B55" s="297" t="s">
        <v>154</v>
      </c>
      <c r="C55" s="285" t="s">
        <v>1084</v>
      </c>
      <c r="D55" s="285"/>
      <c r="E55" s="285"/>
      <c r="F55" s="285"/>
      <c r="G55" s="285"/>
      <c r="H55" s="1013"/>
      <c r="I55" s="1014"/>
      <c r="J55" s="1014"/>
      <c r="K55" s="1014"/>
      <c r="L55" s="1014"/>
      <c r="M55" s="1014"/>
      <c r="N55" s="1014"/>
      <c r="O55" s="1014"/>
      <c r="P55" s="1015"/>
      <c r="R55" s="702"/>
      <c r="T55" s="655"/>
    </row>
    <row r="56" spans="1:45" ht="6" customHeight="1">
      <c r="A56" s="314"/>
      <c r="R56" s="702"/>
    </row>
    <row r="57" spans="1:45" ht="18" customHeight="1">
      <c r="A57" s="314"/>
      <c r="B57" s="18" t="s">
        <v>527</v>
      </c>
      <c r="C57" s="3" t="s">
        <v>1208</v>
      </c>
      <c r="D57" s="3"/>
      <c r="E57" s="3"/>
      <c r="F57" s="3"/>
      <c r="G57" s="42"/>
      <c r="H57" s="994"/>
      <c r="I57" s="995"/>
      <c r="J57" s="3" t="s">
        <v>1210</v>
      </c>
      <c r="K57" s="3"/>
      <c r="L57" s="994"/>
      <c r="M57" s="995"/>
      <c r="N57" s="3" t="s">
        <v>1209</v>
      </c>
      <c r="P57" s="994"/>
      <c r="Q57" s="995"/>
      <c r="R57" s="443" t="s">
        <v>97</v>
      </c>
      <c r="V57" s="3"/>
    </row>
    <row r="58" spans="1:45" ht="6" customHeight="1">
      <c r="A58" s="314"/>
      <c r="C58" s="286"/>
      <c r="D58" s="286"/>
      <c r="E58" s="287"/>
      <c r="F58" s="286"/>
      <c r="G58" s="286"/>
      <c r="R58" s="702"/>
    </row>
    <row r="59" spans="1:45" ht="18" customHeight="1">
      <c r="A59" s="314"/>
      <c r="B59" s="18" t="s">
        <v>156</v>
      </c>
      <c r="C59" s="3" t="s">
        <v>1074</v>
      </c>
      <c r="D59" s="3"/>
      <c r="E59" s="3"/>
      <c r="F59" s="3"/>
      <c r="G59" s="42"/>
      <c r="H59" s="42"/>
      <c r="I59" s="4"/>
      <c r="J59" s="4"/>
      <c r="K59" s="4"/>
      <c r="L59" s="378"/>
      <c r="M59" s="378"/>
      <c r="N59" s="3"/>
      <c r="O59" s="3"/>
      <c r="P59" s="3"/>
      <c r="Q59" s="3"/>
      <c r="R59" s="705"/>
      <c r="T59" s="655"/>
    </row>
    <row r="60" spans="1:45" ht="18" customHeight="1">
      <c r="A60" s="314"/>
      <c r="B60" s="18"/>
      <c r="C60" s="3"/>
      <c r="D60" s="961" t="str">
        <f>IF(ISBLANK(H57),"",J36)</f>
        <v/>
      </c>
      <c r="E60" s="962"/>
      <c r="F60" s="4" t="s">
        <v>784</v>
      </c>
      <c r="G60" s="961" t="str">
        <f>IF(ISBLANK(H57),"",H57)</f>
        <v/>
      </c>
      <c r="H60" s="962"/>
      <c r="I60" s="4" t="s">
        <v>113</v>
      </c>
      <c r="J60" s="998" t="str">
        <f>IF(ISBLANK(H57),"",ROUNDUP((D60/G60),0))</f>
        <v/>
      </c>
      <c r="K60" s="999"/>
      <c r="L60" s="418" t="s">
        <v>790</v>
      </c>
      <c r="M60" s="378"/>
      <c r="N60" s="3"/>
      <c r="O60" s="3"/>
      <c r="P60" s="3"/>
      <c r="Q60" s="3"/>
      <c r="R60" s="705"/>
      <c r="T60" s="655"/>
    </row>
    <row r="61" spans="1:45" ht="6" customHeight="1">
      <c r="A61" s="314"/>
      <c r="C61" s="286"/>
      <c r="D61" s="286"/>
      <c r="E61" s="287"/>
      <c r="F61" s="286"/>
      <c r="G61" s="286"/>
      <c r="R61" s="702"/>
    </row>
    <row r="62" spans="1:45" s="477" customFormat="1" ht="18" customHeight="1">
      <c r="A62" s="487"/>
      <c r="B62" s="480" t="s">
        <v>476</v>
      </c>
      <c r="C62" s="482" t="s">
        <v>1090</v>
      </c>
      <c r="R62" s="486"/>
    </row>
    <row r="63" spans="1:45" s="477" customFormat="1" ht="18" customHeight="1">
      <c r="A63" s="487"/>
      <c r="B63" s="480"/>
      <c r="C63" s="482"/>
      <c r="D63" s="986" t="str">
        <f>IF(ISBLANK(J60), "",J60)</f>
        <v/>
      </c>
      <c r="E63" s="987"/>
      <c r="F63" s="477" t="s">
        <v>1047</v>
      </c>
      <c r="H63" s="490" t="s">
        <v>106</v>
      </c>
      <c r="I63" s="1011">
        <f>IF(ISBLANK(J60), " ",H57)</f>
        <v>0</v>
      </c>
      <c r="J63" s="1016"/>
      <c r="K63" s="996" t="s">
        <v>785</v>
      </c>
      <c r="L63" s="997"/>
      <c r="M63" s="1011" t="str">
        <f>IF(ISBLANK(H57),"", (D63*I63))</f>
        <v/>
      </c>
      <c r="N63" s="1012"/>
      <c r="O63" s="477" t="s">
        <v>97</v>
      </c>
      <c r="R63" s="486"/>
    </row>
    <row r="64" spans="1:45" ht="6" customHeight="1">
      <c r="A64" s="314"/>
      <c r="C64" s="286"/>
      <c r="D64" s="286"/>
      <c r="E64" s="287"/>
      <c r="F64" s="286"/>
      <c r="G64" s="286"/>
      <c r="R64" s="702"/>
    </row>
    <row r="65" spans="1:43" ht="18" customHeight="1">
      <c r="A65" s="314"/>
      <c r="B65" s="18" t="s">
        <v>477</v>
      </c>
      <c r="C65" s="3" t="s">
        <v>1129</v>
      </c>
      <c r="D65" s="3"/>
      <c r="E65" s="3"/>
      <c r="F65" s="3"/>
      <c r="G65" s="42"/>
      <c r="H65" s="42"/>
      <c r="I65" s="4"/>
      <c r="J65" s="4"/>
      <c r="K65" s="4"/>
      <c r="L65" s="378"/>
      <c r="M65" s="378"/>
      <c r="N65" s="3"/>
      <c r="O65" s="3"/>
      <c r="P65" s="3"/>
      <c r="Q65" s="3"/>
      <c r="R65" s="705"/>
      <c r="T65" s="655"/>
    </row>
    <row r="66" spans="1:43" ht="18" customHeight="1">
      <c r="A66" s="314"/>
      <c r="B66" s="18"/>
      <c r="C66" s="3"/>
      <c r="D66" s="961" t="str">
        <f>IF(ISBLANK(L57),"",H32)</f>
        <v/>
      </c>
      <c r="E66" s="962"/>
      <c r="F66" s="4" t="s">
        <v>782</v>
      </c>
      <c r="G66" s="961" t="str">
        <f>IF(ISBLANK(H57),"",L57)</f>
        <v/>
      </c>
      <c r="H66" s="962"/>
      <c r="I66" s="4" t="s">
        <v>113</v>
      </c>
      <c r="J66" s="967" t="str">
        <f>IF(ISBLANK(L57),"",D66/G66)</f>
        <v/>
      </c>
      <c r="K66" s="968"/>
      <c r="L66" s="419" t="s">
        <v>786</v>
      </c>
      <c r="M66" s="692" t="s">
        <v>1126</v>
      </c>
      <c r="O66" s="3"/>
      <c r="P66" s="3"/>
      <c r="Q66" s="3"/>
      <c r="R66" s="705"/>
      <c r="T66" s="655"/>
    </row>
    <row r="67" spans="1:43" ht="6" customHeight="1">
      <c r="A67" s="314"/>
      <c r="C67" s="286"/>
      <c r="D67" s="286"/>
      <c r="E67" s="287"/>
      <c r="F67" s="286"/>
      <c r="G67" s="286"/>
      <c r="R67" s="702"/>
    </row>
    <row r="68" spans="1:43" ht="15.6" customHeight="1">
      <c r="A68" s="314"/>
      <c r="B68" s="35" t="s">
        <v>539</v>
      </c>
      <c r="C68" s="3" t="s">
        <v>1076</v>
      </c>
      <c r="D68" s="3"/>
      <c r="E68" s="3"/>
      <c r="F68" s="3"/>
      <c r="G68" s="3"/>
      <c r="H68" s="3"/>
      <c r="I68" s="3"/>
      <c r="J68" s="3"/>
      <c r="K68" s="3"/>
      <c r="L68" s="3"/>
      <c r="M68" s="3"/>
      <c r="N68" s="3"/>
      <c r="O68" s="3"/>
      <c r="P68" s="3"/>
      <c r="Q68" s="3"/>
      <c r="R68" s="705"/>
    </row>
    <row r="69" spans="1:43" ht="18" customHeight="1">
      <c r="A69" s="314"/>
      <c r="B69" s="18"/>
      <c r="C69" s="3"/>
      <c r="D69" s="961" t="str">
        <f>IF(ISBLANK(H57),"",J60)</f>
        <v/>
      </c>
      <c r="E69" s="962"/>
      <c r="F69" s="4" t="s">
        <v>106</v>
      </c>
      <c r="G69" s="961" t="str">
        <f>IF(ISBLANK(H57),"",J66)</f>
        <v/>
      </c>
      <c r="H69" s="962"/>
      <c r="I69" s="4" t="s">
        <v>107</v>
      </c>
      <c r="J69" s="961" t="str">
        <f>IF(ISBLANK(H57),"",D69*G69)</f>
        <v/>
      </c>
      <c r="K69" s="962"/>
      <c r="L69" s="418" t="s">
        <v>783</v>
      </c>
      <c r="M69" s="3"/>
      <c r="N69" s="3"/>
      <c r="O69" s="3"/>
      <c r="P69" s="3"/>
      <c r="Q69" s="3"/>
      <c r="R69" s="705"/>
    </row>
    <row r="70" spans="1:43" ht="6" customHeight="1" thickBot="1">
      <c r="A70" s="313"/>
      <c r="B70" s="331"/>
      <c r="C70" s="295"/>
      <c r="D70" s="295"/>
      <c r="E70" s="284"/>
      <c r="F70" s="295"/>
      <c r="G70" s="295"/>
      <c r="H70" s="330"/>
      <c r="I70" s="330"/>
      <c r="J70" s="330"/>
      <c r="K70" s="330"/>
      <c r="L70" s="330"/>
      <c r="M70" s="330"/>
      <c r="N70" s="330"/>
      <c r="O70" s="330"/>
      <c r="P70" s="330"/>
      <c r="Q70" s="330"/>
      <c r="R70" s="706"/>
    </row>
    <row r="71" spans="1:43" ht="16.350000000000001" customHeight="1" thickBot="1">
      <c r="A71" s="650" t="s">
        <v>98</v>
      </c>
      <c r="B71" s="644"/>
      <c r="C71" s="389" t="s">
        <v>602</v>
      </c>
      <c r="D71" s="389"/>
      <c r="E71" s="389"/>
      <c r="F71" s="389"/>
      <c r="G71" s="389"/>
      <c r="H71" s="389"/>
      <c r="I71" s="389"/>
      <c r="J71" s="389"/>
      <c r="K71" s="389"/>
      <c r="L71" s="389"/>
      <c r="M71" s="389"/>
      <c r="N71" s="389"/>
      <c r="O71" s="389"/>
      <c r="P71" s="389"/>
      <c r="Q71" s="389"/>
      <c r="R71" s="390"/>
      <c r="S71" s="290"/>
      <c r="T71" s="290"/>
      <c r="U71" s="290"/>
      <c r="V71" s="290"/>
      <c r="W71" s="290"/>
      <c r="X71" s="290"/>
      <c r="Y71" s="290"/>
      <c r="Z71" s="290"/>
      <c r="AA71" s="290"/>
      <c r="AB71" s="290"/>
    </row>
    <row r="72" spans="1:43" ht="4.1500000000000004" customHeight="1">
      <c r="A72" s="707"/>
      <c r="B72" s="312"/>
      <c r="C72" s="312"/>
      <c r="D72" s="312"/>
      <c r="E72" s="312"/>
      <c r="F72" s="312"/>
      <c r="G72" s="312"/>
      <c r="H72" s="312"/>
      <c r="I72" s="312"/>
      <c r="J72" s="312"/>
      <c r="K72" s="312"/>
      <c r="L72" s="312"/>
      <c r="M72" s="312"/>
      <c r="N72" s="312"/>
      <c r="O72" s="312"/>
      <c r="P72" s="312"/>
      <c r="Q72" s="312"/>
      <c r="R72" s="708"/>
      <c r="S72" s="290"/>
      <c r="T72" s="290"/>
      <c r="U72" s="290"/>
      <c r="V72" s="290"/>
      <c r="W72" s="290"/>
      <c r="X72" s="290"/>
      <c r="Y72" s="290"/>
      <c r="Z72" s="290"/>
      <c r="AA72" s="290"/>
    </row>
    <row r="73" spans="1:43" ht="18" customHeight="1">
      <c r="A73" s="314"/>
      <c r="B73" s="297" t="s">
        <v>154</v>
      </c>
      <c r="C73" s="298" t="s">
        <v>1091</v>
      </c>
      <c r="R73" s="702"/>
    </row>
    <row r="74" spans="1:43" ht="4.1500000000000004" customHeight="1">
      <c r="A74" s="314"/>
      <c r="J74" s="311"/>
      <c r="K74" s="293"/>
      <c r="Q74" s="309"/>
      <c r="R74" s="702"/>
      <c r="AI74" s="291"/>
      <c r="AJ74" s="291"/>
      <c r="AK74" s="291"/>
      <c r="AL74" s="291"/>
      <c r="AM74" s="291"/>
      <c r="AN74" s="291"/>
      <c r="AO74" s="291"/>
      <c r="AP74" s="291"/>
      <c r="AQ74" s="291"/>
    </row>
    <row r="75" spans="1:43" ht="19.899999999999999" customHeight="1">
      <c r="A75" s="314"/>
      <c r="B75" s="297"/>
      <c r="C75" s="303">
        <v>3</v>
      </c>
      <c r="D75" s="287" t="s">
        <v>607</v>
      </c>
      <c r="E75" s="954" t="str">
        <f>IF(ISBLANK(H12),"",H8)</f>
        <v/>
      </c>
      <c r="F75" s="955"/>
      <c r="G75" s="287" t="s">
        <v>125</v>
      </c>
      <c r="H75" s="954" t="str">
        <f>IF(ISBLANK(H12),"",MAX(1,3-E75))</f>
        <v/>
      </c>
      <c r="I75" s="955"/>
      <c r="J75" s="285" t="s">
        <v>97</v>
      </c>
      <c r="K75" s="285" t="s">
        <v>720</v>
      </c>
      <c r="P75" s="956"/>
      <c r="Q75" s="957"/>
      <c r="R75" s="709" t="s">
        <v>97</v>
      </c>
      <c r="AI75" s="287"/>
      <c r="AJ75" s="291"/>
      <c r="AK75" s="291"/>
      <c r="AL75" s="291"/>
      <c r="AM75" s="291"/>
      <c r="AN75" s="291"/>
      <c r="AO75" s="291"/>
      <c r="AP75" s="291"/>
      <c r="AQ75" s="291"/>
    </row>
    <row r="76" spans="1:43" ht="4.1500000000000004" customHeight="1">
      <c r="A76" s="314"/>
      <c r="B76" s="297"/>
      <c r="C76" s="286"/>
      <c r="D76" s="287"/>
      <c r="E76" s="286"/>
      <c r="F76" s="286"/>
      <c r="G76" s="287"/>
      <c r="Q76" s="309"/>
      <c r="R76" s="702"/>
      <c r="AI76" s="287"/>
      <c r="AJ76" s="287"/>
      <c r="AK76" s="287"/>
      <c r="AL76" s="287"/>
      <c r="AM76" s="287"/>
      <c r="AN76" s="287"/>
      <c r="AO76" s="287"/>
      <c r="AP76" s="287"/>
      <c r="AQ76" s="287"/>
    </row>
    <row r="77" spans="1:43" ht="18" customHeight="1">
      <c r="A77" s="314"/>
      <c r="B77" s="297" t="s">
        <v>527</v>
      </c>
      <c r="C77" s="298" t="s">
        <v>1092</v>
      </c>
      <c r="R77" s="702"/>
      <c r="AI77" s="287"/>
      <c r="AJ77" s="287"/>
      <c r="AK77" s="287"/>
      <c r="AL77" s="287"/>
      <c r="AM77" s="287"/>
      <c r="AN77" s="287"/>
      <c r="AO77" s="287"/>
      <c r="AP77" s="287"/>
      <c r="AQ77" s="287"/>
    </row>
    <row r="78" spans="1:43" ht="19.5" customHeight="1">
      <c r="A78" s="314"/>
      <c r="B78" s="297"/>
      <c r="C78" s="954">
        <f>MAX(H75,P75)</f>
        <v>0</v>
      </c>
      <c r="D78" s="955"/>
      <c r="E78" s="353" t="s">
        <v>794</v>
      </c>
      <c r="F78" s="969" t="str">
        <f>IF(ISBLANK(H14),"",MAX((C51+0.25),(P57+0.5)))</f>
        <v/>
      </c>
      <c r="G78" s="970"/>
      <c r="H78" s="353" t="s">
        <v>794</v>
      </c>
      <c r="I78" s="971">
        <v>1</v>
      </c>
      <c r="J78" s="971"/>
      <c r="K78" s="656" t="s">
        <v>113</v>
      </c>
      <c r="L78" s="959" t="str">
        <f>IF(ISBLANK(H12),"",C78+F78+I78)</f>
        <v/>
      </c>
      <c r="M78" s="960"/>
      <c r="N78" s="285" t="s">
        <v>97</v>
      </c>
      <c r="R78" s="702"/>
      <c r="AI78" s="287"/>
      <c r="AJ78" s="287"/>
      <c r="AK78" s="287"/>
      <c r="AL78" s="287"/>
      <c r="AM78" s="287"/>
      <c r="AN78" s="287"/>
      <c r="AO78" s="287"/>
      <c r="AP78" s="287"/>
      <c r="AQ78" s="287"/>
    </row>
    <row r="79" spans="1:43" ht="3.75" customHeight="1">
      <c r="A79" s="314"/>
      <c r="B79" s="297"/>
      <c r="R79" s="702"/>
      <c r="AI79" s="287"/>
      <c r="AJ79" s="287"/>
      <c r="AK79" s="287"/>
      <c r="AL79" s="287"/>
      <c r="AM79" s="287"/>
      <c r="AN79" s="287"/>
      <c r="AO79" s="287"/>
      <c r="AP79" s="287"/>
      <c r="AQ79" s="287"/>
    </row>
    <row r="80" spans="1:43" ht="15" customHeight="1">
      <c r="A80" s="314"/>
      <c r="B80" s="297" t="s">
        <v>156</v>
      </c>
      <c r="C80" s="298" t="s">
        <v>1335</v>
      </c>
      <c r="J80" s="945"/>
      <c r="K80" s="945"/>
      <c r="L80" s="945"/>
      <c r="M80" s="945"/>
      <c r="N80" s="945"/>
      <c r="O80" s="945"/>
      <c r="R80" s="702"/>
      <c r="AI80" s="287"/>
      <c r="AJ80" s="287"/>
      <c r="AK80" s="287"/>
      <c r="AL80" s="287"/>
      <c r="AM80" s="287"/>
      <c r="AN80" s="287"/>
      <c r="AO80" s="287"/>
      <c r="AP80" s="287"/>
      <c r="AQ80" s="287"/>
    </row>
    <row r="81" spans="1:43" ht="19.5" customHeight="1">
      <c r="A81" s="314"/>
      <c r="B81" s="297"/>
      <c r="C81" s="959" t="str">
        <f>L78</f>
        <v/>
      </c>
      <c r="D81" s="960"/>
      <c r="E81" s="353" t="s">
        <v>131</v>
      </c>
      <c r="F81" s="965"/>
      <c r="G81" s="966"/>
      <c r="H81" s="353" t="s">
        <v>113</v>
      </c>
      <c r="I81" s="959" t="str">
        <f>IF(ISBLANK(H12),"",C81*F81)</f>
        <v/>
      </c>
      <c r="J81" s="960"/>
      <c r="K81" s="298" t="s">
        <v>97</v>
      </c>
      <c r="R81" s="702"/>
      <c r="AI81" s="287"/>
      <c r="AJ81" s="287"/>
      <c r="AK81" s="287"/>
      <c r="AL81" s="287"/>
      <c r="AM81" s="287"/>
      <c r="AN81" s="287"/>
      <c r="AO81" s="287"/>
      <c r="AP81" s="287"/>
      <c r="AQ81" s="287"/>
    </row>
    <row r="82" spans="1:43" ht="3.75" customHeight="1">
      <c r="A82" s="314"/>
      <c r="B82" s="297"/>
      <c r="R82" s="702"/>
      <c r="AI82" s="287"/>
      <c r="AJ82" s="287"/>
      <c r="AK82" s="287"/>
      <c r="AL82" s="287"/>
      <c r="AM82" s="287"/>
      <c r="AN82" s="287"/>
      <c r="AO82" s="287"/>
      <c r="AP82" s="287"/>
      <c r="AQ82" s="287"/>
    </row>
    <row r="83" spans="1:43" ht="15" customHeight="1">
      <c r="A83" s="314"/>
      <c r="B83" s="297" t="s">
        <v>476</v>
      </c>
      <c r="C83" s="298" t="s">
        <v>1096</v>
      </c>
      <c r="R83" s="333"/>
      <c r="AI83" s="287"/>
      <c r="AJ83" s="308"/>
      <c r="AK83" s="308"/>
      <c r="AL83" s="307"/>
      <c r="AM83" s="307"/>
      <c r="AN83" s="308"/>
      <c r="AO83" s="308"/>
      <c r="AP83" s="307"/>
      <c r="AQ83" s="307"/>
    </row>
    <row r="84" spans="1:43" ht="19.899999999999999" customHeight="1">
      <c r="A84" s="314"/>
      <c r="B84" s="297"/>
      <c r="C84" s="972" t="str">
        <f>I81</f>
        <v/>
      </c>
      <c r="D84" s="973"/>
      <c r="E84" s="354" t="s">
        <v>794</v>
      </c>
      <c r="F84" s="959" t="str">
        <f>IF(ISBLANK(H32), "", H32)</f>
        <v/>
      </c>
      <c r="G84" s="960"/>
      <c r="H84" s="355" t="s">
        <v>794</v>
      </c>
      <c r="I84" s="959" t="str">
        <f>I81</f>
        <v/>
      </c>
      <c r="J84" s="960"/>
      <c r="K84" s="659" t="s">
        <v>113</v>
      </c>
      <c r="L84" s="959" t="str">
        <f>IF(ISBLANK(H12),"",C84+F84+I84)</f>
        <v/>
      </c>
      <c r="M84" s="960"/>
      <c r="N84" s="298" t="s">
        <v>97</v>
      </c>
      <c r="R84" s="702"/>
      <c r="AI84" s="287"/>
      <c r="AJ84" s="281"/>
      <c r="AK84" s="281"/>
      <c r="AL84" s="282"/>
      <c r="AM84" s="282"/>
      <c r="AN84" s="281"/>
      <c r="AO84" s="281"/>
      <c r="AP84" s="282"/>
      <c r="AQ84" s="282"/>
    </row>
    <row r="85" spans="1:43" ht="4.1500000000000004" customHeight="1">
      <c r="A85" s="314"/>
      <c r="C85" s="302"/>
      <c r="D85" s="302"/>
      <c r="E85" s="302"/>
      <c r="F85" s="302"/>
      <c r="G85" s="302"/>
      <c r="H85" s="306"/>
      <c r="L85" s="301"/>
      <c r="M85" s="301"/>
      <c r="R85" s="710"/>
      <c r="AI85" s="287"/>
      <c r="AJ85" s="281"/>
      <c r="AK85" s="281"/>
      <c r="AL85" s="282"/>
      <c r="AM85" s="282"/>
      <c r="AN85" s="281"/>
      <c r="AO85" s="281"/>
      <c r="AP85" s="282"/>
      <c r="AQ85" s="282"/>
    </row>
    <row r="86" spans="1:43" ht="15" customHeight="1">
      <c r="A86" s="314"/>
      <c r="B86" s="297" t="s">
        <v>477</v>
      </c>
      <c r="C86" s="298" t="s">
        <v>1102</v>
      </c>
      <c r="R86" s="333"/>
      <c r="AI86" s="287"/>
      <c r="AJ86" s="308"/>
      <c r="AK86" s="308"/>
      <c r="AL86" s="307"/>
      <c r="AM86" s="307"/>
      <c r="AN86" s="308"/>
      <c r="AO86" s="308"/>
      <c r="AP86" s="307"/>
      <c r="AQ86" s="307"/>
    </row>
    <row r="87" spans="1:43" ht="19.5" customHeight="1">
      <c r="A87" s="314"/>
      <c r="B87" s="297"/>
      <c r="C87" s="954" t="str">
        <f>J41</f>
        <v/>
      </c>
      <c r="D87" s="955"/>
      <c r="E87" s="353" t="s">
        <v>795</v>
      </c>
      <c r="F87" s="959" t="str">
        <f>L84</f>
        <v/>
      </c>
      <c r="G87" s="960"/>
      <c r="H87" s="353" t="s">
        <v>126</v>
      </c>
      <c r="I87" s="964" t="str">
        <f>IF(ISBLANK(H12),"",IF(C87&lt;F87,"0",C87-F87))</f>
        <v/>
      </c>
      <c r="J87" s="974"/>
      <c r="K87" s="298" t="s">
        <v>97</v>
      </c>
      <c r="L87" s="298" t="s">
        <v>705</v>
      </c>
      <c r="R87" s="702"/>
      <c r="AJ87" s="281"/>
      <c r="AK87" s="281"/>
      <c r="AL87" s="282"/>
      <c r="AM87" s="282"/>
      <c r="AN87" s="281"/>
      <c r="AO87" s="281"/>
      <c r="AP87" s="282"/>
      <c r="AQ87" s="282"/>
    </row>
    <row r="88" spans="1:43" ht="4.5" customHeight="1">
      <c r="A88" s="314"/>
      <c r="B88" s="297"/>
      <c r="G88" s="299"/>
      <c r="H88" s="304"/>
      <c r="I88" s="287"/>
      <c r="J88" s="286"/>
      <c r="K88" s="303"/>
      <c r="M88" s="286"/>
      <c r="N88" s="286"/>
      <c r="R88" s="702"/>
      <c r="AI88" s="287"/>
      <c r="AJ88" s="281"/>
      <c r="AK88" s="281"/>
      <c r="AL88" s="282"/>
      <c r="AM88" s="282"/>
      <c r="AN88" s="281"/>
      <c r="AO88" s="281"/>
      <c r="AP88" s="282"/>
      <c r="AQ88" s="282"/>
    </row>
    <row r="89" spans="1:43" ht="19.899999999999999" customHeight="1">
      <c r="A89" s="314"/>
      <c r="B89" s="297" t="s">
        <v>539</v>
      </c>
      <c r="C89" s="298" t="s">
        <v>1097</v>
      </c>
      <c r="H89" s="348"/>
      <c r="I89" s="348"/>
      <c r="J89" s="287"/>
      <c r="K89" s="349"/>
      <c r="L89" s="349"/>
      <c r="O89" s="349"/>
      <c r="P89" s="349"/>
      <c r="Q89" s="285"/>
      <c r="R89" s="702"/>
      <c r="AI89" s="287"/>
      <c r="AJ89" s="281"/>
      <c r="AK89" s="281"/>
      <c r="AL89" s="282"/>
      <c r="AM89" s="282"/>
      <c r="AN89" s="281"/>
      <c r="AO89" s="281"/>
      <c r="AP89" s="282"/>
      <c r="AQ89" s="282"/>
    </row>
    <row r="90" spans="1:43" ht="19.5" customHeight="1">
      <c r="A90" s="314"/>
      <c r="B90" s="297"/>
      <c r="C90" s="964" t="str">
        <f>I87</f>
        <v/>
      </c>
      <c r="D90" s="958"/>
      <c r="E90" s="353" t="s">
        <v>608</v>
      </c>
      <c r="F90" s="959" t="str">
        <f>I81</f>
        <v/>
      </c>
      <c r="G90" s="960"/>
      <c r="H90" s="353" t="s">
        <v>126</v>
      </c>
      <c r="I90" s="954" t="str">
        <f>IF(ISBLANK(H12),"",C90+F90)</f>
        <v/>
      </c>
      <c r="J90" s="955"/>
      <c r="K90" s="298" t="s">
        <v>97</v>
      </c>
      <c r="R90" s="702"/>
      <c r="AI90" s="287"/>
      <c r="AJ90" s="281"/>
      <c r="AK90" s="281"/>
      <c r="AL90" s="282"/>
      <c r="AM90" s="282"/>
      <c r="AN90" s="281"/>
      <c r="AO90" s="281"/>
      <c r="AP90" s="282"/>
      <c r="AQ90" s="282"/>
    </row>
    <row r="91" spans="1:43" ht="3.75" customHeight="1">
      <c r="A91" s="314"/>
      <c r="B91" s="297"/>
      <c r="H91" s="348"/>
      <c r="I91" s="348"/>
      <c r="J91" s="287"/>
      <c r="K91" s="349"/>
      <c r="L91" s="349"/>
      <c r="M91" s="287"/>
      <c r="N91" s="348"/>
      <c r="O91" s="348"/>
      <c r="P91" s="287"/>
      <c r="R91" s="702"/>
      <c r="AI91" s="287"/>
      <c r="AJ91" s="281"/>
      <c r="AK91" s="281"/>
      <c r="AL91" s="282"/>
      <c r="AM91" s="282"/>
      <c r="AN91" s="281"/>
      <c r="AO91" s="281"/>
      <c r="AP91" s="282"/>
      <c r="AQ91" s="282"/>
    </row>
    <row r="92" spans="1:43" ht="19.5" customHeight="1">
      <c r="A92" s="314"/>
      <c r="B92" s="297" t="s">
        <v>540</v>
      </c>
      <c r="C92" s="289" t="s">
        <v>1098</v>
      </c>
      <c r="D92" s="346"/>
      <c r="E92" s="346"/>
      <c r="F92" s="346"/>
      <c r="G92" s="346"/>
      <c r="M92" s="301"/>
      <c r="P92" s="285"/>
      <c r="R92" s="702"/>
      <c r="AI92" s="287"/>
      <c r="AJ92" s="281"/>
      <c r="AK92" s="281"/>
      <c r="AL92" s="282"/>
      <c r="AM92" s="282"/>
      <c r="AN92" s="281"/>
      <c r="AO92" s="281"/>
      <c r="AP92" s="282"/>
      <c r="AQ92" s="282"/>
    </row>
    <row r="93" spans="1:43" ht="19.5" customHeight="1">
      <c r="A93" s="314"/>
      <c r="B93" s="298"/>
      <c r="C93" s="954" t="str">
        <f>I90</f>
        <v/>
      </c>
      <c r="D93" s="958"/>
      <c r="E93" s="353" t="s">
        <v>608</v>
      </c>
      <c r="F93" s="959" t="str">
        <f>IF(ISBLANK(H32), "", H32)</f>
        <v/>
      </c>
      <c r="G93" s="958"/>
      <c r="H93" s="353" t="s">
        <v>608</v>
      </c>
      <c r="I93" s="954" t="str">
        <f>I90</f>
        <v/>
      </c>
      <c r="J93" s="958"/>
      <c r="K93" s="353" t="s">
        <v>125</v>
      </c>
      <c r="L93" s="959" t="str">
        <f>IF(ISBLANK(H12),"",C93+F93+I93)</f>
        <v/>
      </c>
      <c r="M93" s="958"/>
      <c r="N93" s="298" t="s">
        <v>97</v>
      </c>
      <c r="R93" s="702"/>
      <c r="AJ93" s="281"/>
      <c r="AK93" s="281"/>
      <c r="AL93" s="282"/>
      <c r="AM93" s="282"/>
      <c r="AN93" s="281"/>
      <c r="AO93" s="281"/>
      <c r="AP93" s="282"/>
      <c r="AQ93" s="282"/>
    </row>
    <row r="94" spans="1:43" ht="3.75" customHeight="1">
      <c r="A94" s="314"/>
      <c r="B94" s="297"/>
      <c r="R94" s="702"/>
      <c r="AI94" s="287"/>
      <c r="AJ94" s="281"/>
      <c r="AK94" s="281"/>
      <c r="AL94" s="282"/>
      <c r="AM94" s="282"/>
      <c r="AN94" s="281"/>
      <c r="AO94" s="281"/>
      <c r="AP94" s="282"/>
      <c r="AQ94" s="282"/>
    </row>
    <row r="95" spans="1:43" ht="19.899999999999999" customHeight="1">
      <c r="A95" s="314"/>
      <c r="B95" s="297" t="s">
        <v>541</v>
      </c>
      <c r="C95" s="301" t="s">
        <v>1099</v>
      </c>
      <c r="D95" s="299"/>
      <c r="E95" s="287"/>
      <c r="F95" s="286"/>
      <c r="G95" s="286"/>
      <c r="H95" s="347"/>
      <c r="I95" s="347"/>
      <c r="J95" s="287"/>
      <c r="K95" s="348"/>
      <c r="L95" s="348"/>
      <c r="M95" s="287"/>
      <c r="N95" s="348"/>
      <c r="O95" s="348"/>
      <c r="P95" s="285"/>
      <c r="R95" s="702"/>
      <c r="AI95" s="287"/>
      <c r="AJ95" s="281"/>
      <c r="AK95" s="281"/>
      <c r="AL95" s="282"/>
      <c r="AM95" s="282"/>
      <c r="AN95" s="281"/>
      <c r="AO95" s="281"/>
      <c r="AP95" s="282"/>
      <c r="AQ95" s="282"/>
    </row>
    <row r="96" spans="1:43" ht="19.5" customHeight="1">
      <c r="A96" s="314"/>
      <c r="B96" s="297"/>
      <c r="C96" s="954" t="str">
        <f>I90</f>
        <v/>
      </c>
      <c r="D96" s="955"/>
      <c r="E96" s="353" t="s">
        <v>608</v>
      </c>
      <c r="F96" s="954">
        <f>MAX(M63,J36)</f>
        <v>0</v>
      </c>
      <c r="G96" s="955"/>
      <c r="H96" s="353" t="s">
        <v>608</v>
      </c>
      <c r="I96" s="954" t="str">
        <f>I90</f>
        <v/>
      </c>
      <c r="J96" s="955"/>
      <c r="K96" s="353" t="s">
        <v>125</v>
      </c>
      <c r="L96" s="959" t="str">
        <f>IF(ISBLANK(H12),"",C96+F96+I96)</f>
        <v/>
      </c>
      <c r="M96" s="960"/>
      <c r="N96" s="298" t="s">
        <v>97</v>
      </c>
      <c r="R96" s="702"/>
      <c r="AI96" s="287"/>
      <c r="AJ96" s="281"/>
      <c r="AK96" s="281"/>
      <c r="AL96" s="282"/>
      <c r="AM96" s="282"/>
      <c r="AN96" s="281"/>
      <c r="AO96" s="281"/>
      <c r="AP96" s="282"/>
      <c r="AQ96" s="282"/>
    </row>
    <row r="97" spans="1:46" ht="3.75" customHeight="1">
      <c r="A97" s="314"/>
      <c r="B97" s="297"/>
      <c r="C97" s="285"/>
      <c r="D97" s="285"/>
      <c r="E97" s="285"/>
      <c r="F97" s="285"/>
      <c r="G97" s="285"/>
      <c r="H97" s="348"/>
      <c r="I97" s="350"/>
      <c r="J97" s="287"/>
      <c r="K97" s="350"/>
      <c r="L97" s="350"/>
      <c r="M97" s="287"/>
      <c r="N97" s="348"/>
      <c r="O97" s="348"/>
      <c r="P97" s="285"/>
      <c r="R97" s="702"/>
      <c r="AI97" s="287"/>
      <c r="AJ97" s="281"/>
      <c r="AK97" s="281"/>
      <c r="AL97" s="282"/>
      <c r="AM97" s="282"/>
      <c r="AN97" s="281"/>
      <c r="AO97" s="281"/>
      <c r="AP97" s="282"/>
      <c r="AQ97" s="282"/>
    </row>
    <row r="98" spans="1:46" ht="19.5" customHeight="1">
      <c r="A98" s="314"/>
      <c r="B98" s="297" t="s">
        <v>542</v>
      </c>
      <c r="C98" s="285" t="s">
        <v>1100</v>
      </c>
      <c r="D98" s="285"/>
      <c r="E98" s="285"/>
      <c r="F98" s="285"/>
      <c r="G98" s="285"/>
      <c r="H98" s="285"/>
      <c r="I98" s="286"/>
      <c r="J98" s="287"/>
      <c r="K98" s="287"/>
      <c r="M98" s="287"/>
      <c r="N98" s="286"/>
      <c r="R98" s="702"/>
      <c r="AI98" s="287"/>
      <c r="AJ98" s="281"/>
      <c r="AK98" s="281"/>
      <c r="AL98" s="282"/>
      <c r="AM98" s="282"/>
      <c r="AN98" s="281"/>
      <c r="AO98" s="281"/>
      <c r="AP98" s="282"/>
      <c r="AQ98" s="282"/>
    </row>
    <row r="99" spans="1:46" ht="19.899999999999999" customHeight="1">
      <c r="A99" s="314"/>
      <c r="B99" s="352" t="s">
        <v>314</v>
      </c>
      <c r="C99" s="954" t="str">
        <f>J41</f>
        <v/>
      </c>
      <c r="D99" s="958"/>
      <c r="E99" s="353" t="s">
        <v>796</v>
      </c>
      <c r="F99" s="959" t="str">
        <f>IF(ISBLANK(H32), "", H32)</f>
        <v/>
      </c>
      <c r="G99" s="958"/>
      <c r="H99" s="285" t="s">
        <v>706</v>
      </c>
      <c r="I99" s="353">
        <v>2</v>
      </c>
      <c r="J99" s="353" t="s">
        <v>107</v>
      </c>
      <c r="K99" s="954" t="str">
        <f>IF(ISBLANK(H12),"",(C99-F99)/2)</f>
        <v/>
      </c>
      <c r="L99" s="955"/>
      <c r="M99" s="285" t="s">
        <v>97</v>
      </c>
      <c r="R99" s="702"/>
      <c r="AI99" s="287"/>
      <c r="AJ99" s="281"/>
      <c r="AK99" s="281"/>
      <c r="AL99" s="282"/>
      <c r="AM99" s="282"/>
      <c r="AN99" s="281"/>
      <c r="AO99" s="281"/>
      <c r="AP99" s="282"/>
      <c r="AQ99" s="282"/>
    </row>
    <row r="100" spans="1:46" ht="4.1500000000000004" customHeight="1" thickBot="1">
      <c r="A100" s="313"/>
      <c r="B100" s="714"/>
      <c r="C100" s="283"/>
      <c r="D100" s="283"/>
      <c r="E100" s="283"/>
      <c r="F100" s="283"/>
      <c r="G100" s="283"/>
      <c r="H100" s="283"/>
      <c r="I100" s="283"/>
      <c r="J100" s="295"/>
      <c r="K100" s="295"/>
      <c r="L100" s="284"/>
      <c r="M100" s="330"/>
      <c r="N100" s="330"/>
      <c r="O100" s="330"/>
      <c r="P100" s="330"/>
      <c r="Q100" s="330"/>
      <c r="R100" s="706"/>
      <c r="AI100" s="287"/>
      <c r="AJ100" s="281"/>
      <c r="AK100" s="281"/>
      <c r="AL100" s="282"/>
      <c r="AM100" s="282"/>
      <c r="AN100" s="281"/>
      <c r="AO100" s="281"/>
      <c r="AP100" s="282"/>
      <c r="AQ100" s="282"/>
    </row>
    <row r="101" spans="1:46" ht="16.899999999999999" customHeight="1" thickBot="1">
      <c r="A101" s="391" t="s">
        <v>100</v>
      </c>
      <c r="B101" s="644"/>
      <c r="C101" s="389" t="s">
        <v>700</v>
      </c>
      <c r="D101" s="389"/>
      <c r="E101" s="648"/>
      <c r="F101" s="389"/>
      <c r="G101" s="389"/>
      <c r="H101" s="389"/>
      <c r="I101" s="389"/>
      <c r="J101" s="389"/>
      <c r="K101" s="389"/>
      <c r="L101" s="389"/>
      <c r="M101" s="389"/>
      <c r="N101" s="389"/>
      <c r="O101" s="389"/>
      <c r="P101" s="389"/>
      <c r="Q101" s="389"/>
      <c r="R101" s="390"/>
    </row>
    <row r="102" spans="1:46" ht="6" customHeight="1">
      <c r="A102" s="314"/>
      <c r="B102" s="298"/>
      <c r="R102" s="702"/>
    </row>
    <row r="103" spans="1:46" ht="16.350000000000001" customHeight="1">
      <c r="A103" s="314"/>
      <c r="B103" s="298"/>
      <c r="R103" s="702"/>
    </row>
    <row r="104" spans="1:46" ht="15" customHeight="1">
      <c r="A104" s="334"/>
      <c r="B104" s="298"/>
      <c r="R104" s="702"/>
      <c r="AR104" s="293"/>
      <c r="AS104" s="293"/>
      <c r="AT104" s="335"/>
    </row>
    <row r="105" spans="1:46" ht="15" customHeight="1">
      <c r="A105" s="334"/>
      <c r="B105" s="298"/>
      <c r="R105" s="702"/>
      <c r="AE105" s="287"/>
      <c r="AF105" s="287"/>
      <c r="AG105" s="287"/>
      <c r="AH105" s="287"/>
      <c r="AI105" s="287"/>
      <c r="AR105" s="293"/>
      <c r="AS105" s="293"/>
      <c r="AT105" s="335"/>
    </row>
    <row r="106" spans="1:46" ht="15" customHeight="1">
      <c r="A106" s="334"/>
      <c r="B106" s="298"/>
      <c r="R106" s="702"/>
      <c r="AK106" s="297"/>
      <c r="AR106" s="293"/>
      <c r="AT106" s="335"/>
    </row>
    <row r="107" spans="1:46" ht="15" customHeight="1">
      <c r="A107" s="334"/>
      <c r="B107" s="298"/>
      <c r="R107" s="702"/>
      <c r="AK107" s="297"/>
      <c r="AR107" s="293"/>
      <c r="AT107" s="335"/>
    </row>
    <row r="108" spans="1:46" ht="15" customHeight="1">
      <c r="A108" s="334"/>
      <c r="B108" s="298"/>
      <c r="R108" s="702"/>
      <c r="AK108" s="297"/>
      <c r="AR108" s="293"/>
      <c r="AT108" s="335"/>
    </row>
    <row r="109" spans="1:46" ht="15" customHeight="1">
      <c r="A109" s="334"/>
      <c r="B109" s="298"/>
      <c r="R109" s="702"/>
      <c r="AK109" s="297"/>
      <c r="AL109" s="311"/>
      <c r="AR109" s="293"/>
      <c r="AT109" s="335"/>
    </row>
    <row r="110" spans="1:46" ht="15" customHeight="1">
      <c r="A110" s="334"/>
      <c r="B110" s="298"/>
      <c r="R110" s="702"/>
      <c r="AT110" s="335"/>
    </row>
    <row r="111" spans="1:46" ht="15" customHeight="1">
      <c r="A111" s="334"/>
      <c r="B111" s="298"/>
      <c r="H111" s="657"/>
      <c r="K111" s="658"/>
      <c r="R111" s="702"/>
      <c r="AT111" s="335"/>
    </row>
    <row r="112" spans="1:46" ht="15" customHeight="1">
      <c r="A112" s="334"/>
      <c r="B112" s="298"/>
      <c r="R112" s="702"/>
      <c r="AT112" s="335"/>
    </row>
    <row r="113" spans="1:46" ht="15" customHeight="1">
      <c r="A113" s="334"/>
      <c r="B113" s="298"/>
      <c r="R113" s="702"/>
      <c r="AT113" s="335"/>
    </row>
    <row r="114" spans="1:46" ht="15" customHeight="1">
      <c r="A114" s="334"/>
      <c r="B114" s="298"/>
      <c r="R114" s="702"/>
      <c r="AT114" s="335"/>
    </row>
    <row r="115" spans="1:46" ht="15" customHeight="1">
      <c r="A115" s="334"/>
      <c r="B115" s="298"/>
      <c r="R115" s="702"/>
      <c r="AT115" s="335"/>
    </row>
    <row r="116" spans="1:46" ht="15" customHeight="1">
      <c r="A116" s="334"/>
      <c r="B116" s="298"/>
      <c r="R116" s="702"/>
    </row>
    <row r="117" spans="1:46" ht="15" customHeight="1">
      <c r="A117" s="334"/>
      <c r="B117" s="298"/>
      <c r="R117" s="702"/>
    </row>
    <row r="118" spans="1:46" ht="15" customHeight="1">
      <c r="A118" s="334"/>
      <c r="B118" s="298"/>
      <c r="R118" s="702"/>
    </row>
    <row r="119" spans="1:46" ht="15" customHeight="1">
      <c r="A119" s="334"/>
      <c r="B119" s="298"/>
      <c r="R119" s="702"/>
    </row>
    <row r="120" spans="1:46" ht="15" customHeight="1">
      <c r="A120" s="334"/>
      <c r="B120" s="298"/>
      <c r="R120" s="702"/>
    </row>
    <row r="121" spans="1:46" ht="15" customHeight="1">
      <c r="A121" s="334"/>
      <c r="B121" s="298"/>
      <c r="R121" s="702"/>
    </row>
    <row r="122" spans="1:46" ht="15" customHeight="1">
      <c r="A122" s="334"/>
      <c r="B122" s="298"/>
      <c r="R122" s="702"/>
    </row>
    <row r="123" spans="1:46" ht="15" customHeight="1">
      <c r="A123" s="334"/>
      <c r="B123" s="298"/>
      <c r="R123" s="702"/>
    </row>
    <row r="124" spans="1:46" ht="15" customHeight="1" thickBot="1">
      <c r="A124" s="332"/>
      <c r="B124" s="330"/>
      <c r="C124" s="330"/>
      <c r="D124" s="330"/>
      <c r="E124" s="330"/>
      <c r="F124" s="330"/>
      <c r="G124" s="330"/>
      <c r="H124" s="330"/>
      <c r="I124" s="330"/>
      <c r="J124" s="330"/>
      <c r="K124" s="330"/>
      <c r="L124" s="330"/>
      <c r="M124" s="330"/>
      <c r="N124" s="330"/>
      <c r="O124" s="330"/>
      <c r="P124" s="330"/>
      <c r="Q124" s="330"/>
      <c r="R124" s="706"/>
    </row>
    <row r="125" spans="1:46" ht="15" customHeight="1">
      <c r="A125" s="334"/>
      <c r="B125" s="298"/>
      <c r="R125" s="702"/>
    </row>
    <row r="126" spans="1:46" ht="15" customHeight="1">
      <c r="A126" s="334"/>
      <c r="B126" s="298"/>
      <c r="R126" s="702"/>
    </row>
    <row r="127" spans="1:46" ht="15" customHeight="1">
      <c r="A127" s="334"/>
      <c r="B127" s="298"/>
      <c r="R127" s="702"/>
    </row>
    <row r="128" spans="1:46" ht="15" customHeight="1">
      <c r="A128" s="334"/>
      <c r="B128" s="298"/>
      <c r="R128" s="702"/>
    </row>
    <row r="129" spans="1:73" ht="15" customHeight="1">
      <c r="A129" s="334"/>
      <c r="B129" s="298"/>
      <c r="R129" s="702"/>
    </row>
    <row r="130" spans="1:73" ht="15" customHeight="1">
      <c r="A130" s="334"/>
      <c r="B130" s="298"/>
      <c r="R130" s="702"/>
    </row>
    <row r="131" spans="1:73" ht="15" customHeight="1">
      <c r="A131" s="334"/>
      <c r="B131" s="298"/>
      <c r="R131" s="702"/>
    </row>
    <row r="132" spans="1:73" ht="15" customHeight="1">
      <c r="A132" s="334"/>
      <c r="B132" s="298"/>
      <c r="R132" s="702"/>
    </row>
    <row r="133" spans="1:73" ht="15" customHeight="1">
      <c r="A133" s="334"/>
      <c r="B133" s="298"/>
      <c r="R133" s="702"/>
    </row>
    <row r="134" spans="1:73" ht="15" customHeight="1">
      <c r="A134" s="334"/>
      <c r="B134" s="298"/>
      <c r="R134" s="702"/>
    </row>
    <row r="135" spans="1:73" ht="15" customHeight="1">
      <c r="A135" s="334"/>
      <c r="B135" s="298"/>
      <c r="R135" s="702"/>
    </row>
    <row r="136" spans="1:73" ht="15" customHeight="1">
      <c r="A136" s="334"/>
      <c r="B136" s="298"/>
      <c r="R136" s="702"/>
    </row>
    <row r="137" spans="1:73" ht="15" customHeight="1">
      <c r="A137" s="334"/>
      <c r="B137" s="298"/>
      <c r="R137" s="702"/>
    </row>
    <row r="138" spans="1:73" ht="15" customHeight="1">
      <c r="A138" s="334"/>
      <c r="B138" s="298"/>
      <c r="R138" s="702"/>
    </row>
    <row r="139" spans="1:73" ht="15" customHeight="1">
      <c r="A139" s="334"/>
      <c r="B139" s="298"/>
      <c r="R139" s="702"/>
    </row>
    <row r="140" spans="1:73" ht="15" customHeight="1">
      <c r="A140" s="334"/>
      <c r="B140" s="298"/>
      <c r="R140" s="702"/>
    </row>
    <row r="141" spans="1:73" ht="15" customHeight="1">
      <c r="A141" s="334"/>
      <c r="B141" s="298"/>
      <c r="R141" s="702"/>
    </row>
    <row r="142" spans="1:73" ht="10.15" customHeight="1">
      <c r="A142" s="334"/>
      <c r="B142" s="298"/>
      <c r="R142" s="702"/>
    </row>
    <row r="143" spans="1:73" ht="15" customHeight="1">
      <c r="A143" s="314"/>
      <c r="B143" s="290" t="s">
        <v>39</v>
      </c>
      <c r="H143" s="286"/>
      <c r="I143" s="286"/>
      <c r="J143" s="285"/>
      <c r="K143" s="286"/>
      <c r="L143" s="286"/>
      <c r="M143" s="285"/>
      <c r="N143" s="286"/>
      <c r="O143" s="286"/>
      <c r="P143" s="285"/>
      <c r="R143" s="702"/>
    </row>
    <row r="144" spans="1:73" ht="64.5" customHeight="1">
      <c r="A144" s="314"/>
      <c r="B144" s="951"/>
      <c r="C144" s="952"/>
      <c r="D144" s="952"/>
      <c r="E144" s="952"/>
      <c r="F144" s="952"/>
      <c r="G144" s="952"/>
      <c r="H144" s="952"/>
      <c r="I144" s="952"/>
      <c r="J144" s="952"/>
      <c r="K144" s="952"/>
      <c r="L144" s="952"/>
      <c r="M144" s="952"/>
      <c r="N144" s="952"/>
      <c r="O144" s="952"/>
      <c r="P144" s="952"/>
      <c r="Q144" s="952"/>
      <c r="R144" s="953"/>
      <c r="BJ144" s="285"/>
      <c r="BK144" s="285"/>
      <c r="BL144" s="285"/>
      <c r="BM144" s="285"/>
      <c r="BN144" s="285"/>
      <c r="BO144" s="285"/>
      <c r="BP144" s="285"/>
      <c r="BQ144" s="285"/>
      <c r="BR144" s="286"/>
      <c r="BS144" s="286"/>
      <c r="BT144" s="287"/>
      <c r="BU144" s="288"/>
    </row>
    <row r="145" spans="1:50" ht="6" customHeight="1" thickBot="1">
      <c r="A145" s="313"/>
      <c r="B145" s="329"/>
      <c r="C145" s="330"/>
      <c r="D145" s="330"/>
      <c r="E145" s="330"/>
      <c r="F145" s="330"/>
      <c r="G145" s="330"/>
      <c r="H145" s="295"/>
      <c r="I145" s="295"/>
      <c r="J145" s="283"/>
      <c r="K145" s="295"/>
      <c r="L145" s="295"/>
      <c r="M145" s="283"/>
      <c r="N145" s="295"/>
      <c r="O145" s="295"/>
      <c r="P145" s="283"/>
      <c r="Q145" s="330"/>
      <c r="R145" s="706"/>
    </row>
    <row r="146" spans="1:50">
      <c r="AW146" s="282"/>
      <c r="AX146" s="281"/>
    </row>
    <row r="147" spans="1:50">
      <c r="A147" s="298"/>
      <c r="B147" s="298"/>
      <c r="AW147" s="281"/>
      <c r="AX147" s="281"/>
    </row>
    <row r="148" spans="1:50">
      <c r="AW148" s="282"/>
      <c r="AX148" s="281"/>
    </row>
    <row r="149" spans="1:50">
      <c r="AW149" s="281"/>
      <c r="AX149" s="282"/>
    </row>
    <row r="150" spans="1:50">
      <c r="AW150" s="282"/>
      <c r="AX150" s="281"/>
    </row>
    <row r="151" spans="1:50">
      <c r="AW151" s="281"/>
      <c r="AX151" s="281"/>
    </row>
    <row r="152" spans="1:50">
      <c r="AW152" s="282"/>
      <c r="AX152" s="281"/>
    </row>
    <row r="153" spans="1:50">
      <c r="AW153" s="281"/>
      <c r="AX153" s="282"/>
    </row>
    <row r="154" spans="1:50">
      <c r="A154" s="298"/>
      <c r="B154" s="298"/>
      <c r="R154" s="298"/>
      <c r="AW154" s="282"/>
      <c r="AX154" s="281"/>
    </row>
    <row r="155" spans="1:50">
      <c r="A155" s="298"/>
      <c r="B155" s="298"/>
      <c r="R155" s="298"/>
      <c r="AW155" s="281"/>
      <c r="AX155" s="281"/>
    </row>
    <row r="156" spans="1:50">
      <c r="A156" s="298"/>
      <c r="B156" s="298"/>
      <c r="R156" s="298"/>
      <c r="AW156" s="282"/>
      <c r="AX156" s="281"/>
    </row>
    <row r="157" spans="1:50">
      <c r="A157" s="298"/>
      <c r="B157" s="298"/>
      <c r="R157" s="298"/>
      <c r="AW157" s="281"/>
      <c r="AX157" s="281"/>
    </row>
    <row r="158" spans="1:50">
      <c r="A158" s="298"/>
      <c r="B158" s="298"/>
      <c r="R158" s="298"/>
      <c r="AW158" s="282"/>
      <c r="AX158" s="282"/>
    </row>
    <row r="159" spans="1:50">
      <c r="A159" s="298"/>
      <c r="B159" s="298"/>
      <c r="R159" s="298"/>
      <c r="AW159" s="281"/>
      <c r="AX159" s="281"/>
    </row>
    <row r="160" spans="1:50">
      <c r="A160" s="298"/>
      <c r="B160" s="298"/>
      <c r="R160" s="298"/>
      <c r="AW160" s="282"/>
      <c r="AX160" s="281"/>
    </row>
    <row r="161" spans="1:50">
      <c r="A161" s="298"/>
      <c r="B161" s="298"/>
      <c r="R161" s="298"/>
      <c r="AW161" s="282"/>
      <c r="AX161" s="281"/>
    </row>
    <row r="162" spans="1:50">
      <c r="A162" s="298"/>
      <c r="B162" s="298"/>
      <c r="R162" s="298"/>
      <c r="AW162" s="281"/>
      <c r="AX162" s="281"/>
    </row>
    <row r="163" spans="1:50">
      <c r="A163" s="298"/>
      <c r="B163" s="298"/>
      <c r="R163" s="298"/>
      <c r="AW163" s="282"/>
      <c r="AX163" s="282"/>
    </row>
    <row r="164" spans="1:50">
      <c r="A164" s="298"/>
      <c r="B164" s="298"/>
      <c r="R164" s="298"/>
      <c r="AW164" s="281"/>
      <c r="AX164" s="281"/>
    </row>
    <row r="165" spans="1:50">
      <c r="A165" s="298"/>
      <c r="B165" s="298"/>
      <c r="R165" s="298"/>
      <c r="AW165" s="282"/>
      <c r="AX165" s="281"/>
    </row>
    <row r="166" spans="1:50">
      <c r="A166" s="298"/>
      <c r="B166" s="298"/>
      <c r="R166" s="298"/>
      <c r="AW166" s="281"/>
      <c r="AX166" s="281"/>
    </row>
    <row r="167" spans="1:50">
      <c r="A167" s="298"/>
      <c r="B167" s="298"/>
      <c r="R167" s="298"/>
      <c r="AW167" s="282"/>
      <c r="AX167" s="281"/>
    </row>
    <row r="168" spans="1:50">
      <c r="A168" s="298"/>
      <c r="B168" s="298"/>
      <c r="R168" s="298"/>
      <c r="AW168" s="281"/>
      <c r="AX168" s="282"/>
    </row>
    <row r="169" spans="1:50">
      <c r="A169" s="298"/>
      <c r="B169" s="298"/>
      <c r="R169" s="298"/>
      <c r="AW169" s="281"/>
      <c r="AX169" s="281"/>
    </row>
    <row r="170" spans="1:50">
      <c r="A170" s="298"/>
      <c r="B170" s="298"/>
      <c r="R170" s="298"/>
      <c r="AW170" s="282"/>
      <c r="AX170" s="281"/>
    </row>
    <row r="171" spans="1:50">
      <c r="A171" s="298"/>
      <c r="B171" s="298"/>
      <c r="R171" s="298"/>
      <c r="AW171" s="282"/>
      <c r="AX171" s="281"/>
    </row>
    <row r="172" spans="1:50">
      <c r="A172" s="298"/>
      <c r="B172" s="298"/>
      <c r="R172" s="298"/>
      <c r="AW172" s="282"/>
      <c r="AX172" s="281"/>
    </row>
    <row r="173" spans="1:50">
      <c r="A173" s="298"/>
      <c r="B173" s="298"/>
      <c r="R173" s="298"/>
      <c r="AW173" s="282"/>
      <c r="AX173" s="281"/>
    </row>
    <row r="174" spans="1:50">
      <c r="A174" s="298"/>
      <c r="B174" s="298"/>
      <c r="R174" s="298"/>
      <c r="AW174" s="282"/>
      <c r="AX174" s="281"/>
    </row>
    <row r="175" spans="1:50">
      <c r="A175" s="298"/>
      <c r="B175" s="298"/>
      <c r="R175" s="298"/>
      <c r="AW175" s="282"/>
      <c r="AX175" s="281"/>
    </row>
    <row r="176" spans="1:50">
      <c r="A176" s="298"/>
      <c r="B176" s="298"/>
      <c r="R176" s="298"/>
      <c r="AW176" s="281"/>
      <c r="AX176" s="281"/>
    </row>
    <row r="177" spans="1:50">
      <c r="A177" s="298"/>
      <c r="B177" s="298"/>
      <c r="R177" s="298"/>
      <c r="AW177" s="281"/>
      <c r="AX177" s="281"/>
    </row>
    <row r="178" spans="1:50">
      <c r="A178" s="298"/>
      <c r="B178" s="298"/>
      <c r="R178" s="298"/>
      <c r="AW178" s="282"/>
      <c r="AX178" s="282"/>
    </row>
    <row r="179" spans="1:50">
      <c r="A179" s="298"/>
      <c r="B179" s="298"/>
      <c r="R179" s="298"/>
      <c r="AW179" s="281"/>
      <c r="AX179" s="281"/>
    </row>
    <row r="180" spans="1:50">
      <c r="A180" s="298"/>
      <c r="B180" s="298"/>
      <c r="R180" s="298"/>
      <c r="AW180" s="281"/>
      <c r="AX180" s="281"/>
    </row>
    <row r="181" spans="1:50">
      <c r="A181" s="298"/>
      <c r="B181" s="298"/>
      <c r="R181" s="298"/>
      <c r="AW181" s="282"/>
      <c r="AX181" s="281"/>
    </row>
    <row r="182" spans="1:50">
      <c r="A182" s="298"/>
      <c r="B182" s="298"/>
      <c r="R182" s="298"/>
      <c r="AW182" s="281"/>
      <c r="AX182" s="281"/>
    </row>
    <row r="183" spans="1:50">
      <c r="A183" s="298"/>
      <c r="B183" s="298"/>
      <c r="R183" s="298"/>
      <c r="AW183" s="281"/>
      <c r="AX183" s="282"/>
    </row>
    <row r="184" spans="1:50">
      <c r="A184" s="298"/>
      <c r="B184" s="298"/>
      <c r="R184" s="298"/>
      <c r="AW184" s="282"/>
      <c r="AX184" s="281"/>
    </row>
    <row r="185" spans="1:50">
      <c r="A185" s="298"/>
      <c r="B185" s="298"/>
      <c r="R185" s="298"/>
      <c r="AW185" s="281"/>
      <c r="AX185" s="281"/>
    </row>
    <row r="186" spans="1:50">
      <c r="A186" s="298"/>
      <c r="B186" s="298"/>
      <c r="R186" s="298"/>
      <c r="AW186" s="281"/>
      <c r="AX186" s="281"/>
    </row>
    <row r="187" spans="1:50">
      <c r="A187" s="298"/>
      <c r="B187" s="298"/>
      <c r="R187" s="298"/>
      <c r="AW187" s="281"/>
      <c r="AX187" s="282"/>
    </row>
    <row r="188" spans="1:50">
      <c r="A188" s="298"/>
      <c r="B188" s="298"/>
      <c r="R188" s="298"/>
      <c r="AW188" s="281"/>
      <c r="AX188" s="282"/>
    </row>
    <row r="189" spans="1:50">
      <c r="A189" s="298"/>
      <c r="B189" s="298"/>
      <c r="R189" s="298"/>
      <c r="AW189" s="281"/>
      <c r="AX189" s="281"/>
    </row>
    <row r="190" spans="1:50">
      <c r="A190" s="298"/>
      <c r="B190" s="298"/>
      <c r="R190" s="298"/>
      <c r="AW190" s="281"/>
      <c r="AX190" s="282"/>
    </row>
    <row r="191" spans="1:50">
      <c r="A191" s="298"/>
      <c r="B191" s="298"/>
      <c r="R191" s="298"/>
      <c r="AW191" s="281"/>
      <c r="AX191" s="281"/>
    </row>
    <row r="192" spans="1:50">
      <c r="A192" s="298"/>
      <c r="B192" s="298"/>
      <c r="R192" s="298"/>
      <c r="AW192" s="281"/>
      <c r="AX192" s="281"/>
    </row>
    <row r="193" spans="1:50">
      <c r="A193" s="298"/>
      <c r="B193" s="298"/>
      <c r="R193" s="298"/>
      <c r="AW193" s="281"/>
      <c r="AX193" s="282"/>
    </row>
    <row r="194" spans="1:50">
      <c r="A194" s="298"/>
      <c r="B194" s="298"/>
      <c r="R194" s="298"/>
      <c r="AW194" s="281"/>
      <c r="AX194" s="281"/>
    </row>
    <row r="195" spans="1:50">
      <c r="A195" s="298"/>
      <c r="B195" s="298"/>
      <c r="R195" s="298"/>
      <c r="AW195" s="281"/>
      <c r="AX195" s="282"/>
    </row>
    <row r="196" spans="1:50">
      <c r="A196" s="298"/>
      <c r="B196" s="298"/>
      <c r="R196" s="298"/>
      <c r="AW196" s="281"/>
      <c r="AX196" s="281"/>
    </row>
    <row r="197" spans="1:50">
      <c r="A197" s="298"/>
      <c r="B197" s="298"/>
      <c r="R197" s="298"/>
      <c r="AW197" s="281"/>
      <c r="AX197" s="281"/>
    </row>
    <row r="198" spans="1:50">
      <c r="A198" s="298"/>
      <c r="B198" s="298"/>
      <c r="R198" s="298"/>
      <c r="AW198" s="281"/>
      <c r="AX198" s="282"/>
    </row>
    <row r="199" spans="1:50">
      <c r="A199" s="298"/>
      <c r="B199" s="298"/>
      <c r="R199" s="298"/>
      <c r="AW199" s="281"/>
      <c r="AX199" s="281"/>
    </row>
    <row r="200" spans="1:50">
      <c r="A200" s="298"/>
      <c r="B200" s="298"/>
      <c r="R200" s="298"/>
      <c r="AX200" s="282"/>
    </row>
    <row r="201" spans="1:50">
      <c r="A201" s="298"/>
      <c r="B201" s="298"/>
      <c r="R201" s="298"/>
      <c r="AX201" s="282"/>
    </row>
    <row r="202" spans="1:50">
      <c r="A202" s="298"/>
      <c r="B202" s="298"/>
      <c r="R202" s="298"/>
      <c r="AX202" s="281"/>
    </row>
    <row r="203" spans="1:50">
      <c r="A203" s="298"/>
      <c r="B203" s="298"/>
      <c r="R203" s="298"/>
      <c r="AX203" s="282"/>
    </row>
    <row r="204" spans="1:50">
      <c r="A204" s="298"/>
      <c r="B204" s="298"/>
      <c r="R204" s="298"/>
      <c r="AX204" s="281"/>
    </row>
    <row r="205" spans="1:50">
      <c r="A205" s="298"/>
      <c r="B205" s="298"/>
      <c r="R205" s="298"/>
      <c r="AX205" s="282"/>
    </row>
    <row r="206" spans="1:50">
      <c r="A206" s="298"/>
      <c r="B206" s="298"/>
      <c r="R206" s="298"/>
      <c r="AX206" s="282"/>
    </row>
    <row r="207" spans="1:50">
      <c r="A207" s="298"/>
      <c r="B207" s="298"/>
      <c r="R207" s="298"/>
      <c r="AX207" s="281"/>
    </row>
    <row r="208" spans="1:50">
      <c r="A208" s="298"/>
      <c r="B208" s="298"/>
      <c r="R208" s="298"/>
      <c r="AX208" s="281"/>
    </row>
    <row r="209" spans="1:50">
      <c r="A209" s="298"/>
      <c r="B209" s="298"/>
      <c r="R209" s="298"/>
      <c r="AX209" s="281"/>
    </row>
    <row r="210" spans="1:50">
      <c r="A210" s="298"/>
      <c r="B210" s="298"/>
      <c r="R210" s="298"/>
      <c r="AX210" s="281"/>
    </row>
    <row r="211" spans="1:50">
      <c r="A211" s="298"/>
      <c r="B211" s="298"/>
      <c r="R211" s="298"/>
      <c r="AX211" s="281"/>
    </row>
    <row r="212" spans="1:50">
      <c r="A212" s="298"/>
      <c r="B212" s="298"/>
      <c r="R212" s="298"/>
      <c r="AX212" s="281"/>
    </row>
    <row r="213" spans="1:50">
      <c r="A213" s="298"/>
      <c r="B213" s="298"/>
      <c r="R213" s="298"/>
      <c r="AX213" s="281"/>
    </row>
  </sheetData>
  <sheetProtection sheet="1" objects="1" scenarios="1"/>
  <customSheetViews>
    <customSheetView guid="{D1431318-1DB8-4C45-813B-5A8065DFC797}" showPageBreaks="1" printArea="1" view="pageBreakPreview">
      <selection activeCell="H14" sqref="H14:I14"/>
      <rowBreaks count="2" manualBreakCount="2">
        <brk id="46" max="17" man="1"/>
        <brk id="100" max="17" man="1"/>
      </rowBreaks>
      <pageMargins left="0.7" right="0.7" top="0.75" bottom="0.75" header="0.3" footer="0.3"/>
      <pageSetup orientation="portrait" blackAndWhite="1" r:id="rId1"/>
    </customSheetView>
  </customSheetViews>
  <mergeCells count="84">
    <mergeCell ref="V51:W51"/>
    <mergeCell ref="C51:D51"/>
    <mergeCell ref="H32:I32"/>
    <mergeCell ref="G36:H36"/>
    <mergeCell ref="J36:K36"/>
    <mergeCell ref="F51:G51"/>
    <mergeCell ref="D36:E36"/>
    <mergeCell ref="Q2:R2"/>
    <mergeCell ref="K21:R23"/>
    <mergeCell ref="L28:M28"/>
    <mergeCell ref="L30:M30"/>
    <mergeCell ref="M63:N63"/>
    <mergeCell ref="H55:P55"/>
    <mergeCell ref="L57:M57"/>
    <mergeCell ref="I63:J63"/>
    <mergeCell ref="P57:Q57"/>
    <mergeCell ref="D63:E63"/>
    <mergeCell ref="B30:K30"/>
    <mergeCell ref="D34:E34"/>
    <mergeCell ref="G34:H34"/>
    <mergeCell ref="C49:R49"/>
    <mergeCell ref="K34:L34"/>
    <mergeCell ref="G45:H45"/>
    <mergeCell ref="D41:E41"/>
    <mergeCell ref="G41:H41"/>
    <mergeCell ref="L45:M45"/>
    <mergeCell ref="H57:I57"/>
    <mergeCell ref="K63:L63"/>
    <mergeCell ref="J60:K60"/>
    <mergeCell ref="J41:K41"/>
    <mergeCell ref="D45:E45"/>
    <mergeCell ref="G60:H60"/>
    <mergeCell ref="D28:E28"/>
    <mergeCell ref="H12:I12"/>
    <mergeCell ref="H28:I28"/>
    <mergeCell ref="H14:I14"/>
    <mergeCell ref="I2:J2"/>
    <mergeCell ref="F28:G28"/>
    <mergeCell ref="E1:M1"/>
    <mergeCell ref="H4:I4"/>
    <mergeCell ref="H6:I6"/>
    <mergeCell ref="H8:I8"/>
    <mergeCell ref="H10:I10"/>
    <mergeCell ref="K2:L2"/>
    <mergeCell ref="L78:M78"/>
    <mergeCell ref="I78:J78"/>
    <mergeCell ref="C84:D84"/>
    <mergeCell ref="C87:D87"/>
    <mergeCell ref="L96:M96"/>
    <mergeCell ref="C93:D93"/>
    <mergeCell ref="I87:J87"/>
    <mergeCell ref="I93:J93"/>
    <mergeCell ref="D60:E60"/>
    <mergeCell ref="H51:Q51"/>
    <mergeCell ref="C90:D90"/>
    <mergeCell ref="C81:D81"/>
    <mergeCell ref="I81:J81"/>
    <mergeCell ref="F81:G81"/>
    <mergeCell ref="F87:G87"/>
    <mergeCell ref="D66:E66"/>
    <mergeCell ref="H75:I75"/>
    <mergeCell ref="D69:E69"/>
    <mergeCell ref="G69:H69"/>
    <mergeCell ref="J69:K69"/>
    <mergeCell ref="G66:H66"/>
    <mergeCell ref="J66:K66"/>
    <mergeCell ref="F78:G78"/>
    <mergeCell ref="C78:D78"/>
    <mergeCell ref="B144:R144"/>
    <mergeCell ref="E75:F75"/>
    <mergeCell ref="P75:Q75"/>
    <mergeCell ref="C99:D99"/>
    <mergeCell ref="F99:G99"/>
    <mergeCell ref="L84:M84"/>
    <mergeCell ref="I84:J84"/>
    <mergeCell ref="I90:J90"/>
    <mergeCell ref="I96:J96"/>
    <mergeCell ref="F96:G96"/>
    <mergeCell ref="C96:D96"/>
    <mergeCell ref="L93:M93"/>
    <mergeCell ref="K99:L99"/>
    <mergeCell ref="F93:G93"/>
    <mergeCell ref="F84:G84"/>
    <mergeCell ref="F90:G90"/>
  </mergeCells>
  <dataValidations count="6">
    <dataValidation type="list" allowBlank="1" showInputMessage="1" sqref="H14:I14" xr:uid="{00000000-0002-0000-0600-000000000000}">
      <formula1>MoundAbsorptionRatio</formula1>
    </dataValidation>
    <dataValidation type="list" allowBlank="1" showInputMessage="1" prompt="Typical value is 1.2." sqref="H12:I12" xr:uid="{00000000-0002-0000-0600-000001000000}">
      <formula1>MediaLoadRate</formula1>
    </dataValidation>
    <dataValidation type="decimal" operator="greaterThanOrEqual" allowBlank="1" showInputMessage="1" showErrorMessage="1" error="Enter a size that is larger than the minimum above, if so desired." sqref="H32" xr:uid="{00000000-0002-0000-0600-000002000000}">
      <formula1>F30</formula1>
    </dataValidation>
    <dataValidation type="list" allowBlank="1" showInputMessage="1" showErrorMessage="1" sqref="V51:W51" xr:uid="{00000000-0002-0000-0600-000003000000}">
      <formula1>"0.33, 0.5"</formula1>
    </dataValidation>
    <dataValidation type="decimal" operator="greaterThanOrEqual" allowBlank="1" showInputMessage="1" showErrorMessage="1" error="Enter a size that is larger than the minimum above, if so desired." sqref="L30" xr:uid="{00000000-0002-0000-0600-000004000000}">
      <formula1>L28</formula1>
    </dataValidation>
    <dataValidation type="list" allowBlank="1" sqref="C51:D51" xr:uid="{00000000-0002-0000-0600-000005000000}">
      <formula1>MediaDepth</formula1>
    </dataValidation>
  </dataValidations>
  <pageMargins left="0.7" right="0.7" top="0.5" bottom="0.5" header="0.3" footer="0.3"/>
  <pageSetup orientation="portrait" blackAndWhite="1" r:id="rId2"/>
  <rowBreaks count="2" manualBreakCount="2">
    <brk id="46" max="17" man="1"/>
    <brk id="100" max="17" man="1"/>
  </rowBreaks>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3399"/>
  </sheetPr>
  <dimension ref="A1:AX207"/>
  <sheetViews>
    <sheetView showZeros="0" view="pageBreakPreview" topLeftCell="A14" zoomScaleNormal="110" zoomScaleSheetLayoutView="100" workbookViewId="0">
      <selection activeCell="P30" sqref="P30"/>
    </sheetView>
  </sheetViews>
  <sheetFormatPr defaultColWidth="8.85546875" defaultRowHeight="15"/>
  <cols>
    <col min="1" max="1" width="2.5703125" style="297" customWidth="1"/>
    <col min="2" max="2" width="2.5703125" style="311" customWidth="1"/>
    <col min="3" max="17" width="5.28515625" style="298" customWidth="1"/>
    <col min="18" max="18" width="5.28515625" style="285" customWidth="1"/>
    <col min="19" max="19" width="2.42578125" style="298" customWidth="1"/>
    <col min="20" max="20" width="2.5703125" style="298" customWidth="1"/>
    <col min="21" max="21" width="6.28515625" style="298" customWidth="1"/>
    <col min="22" max="35" width="5.7109375" style="298" customWidth="1"/>
    <col min="36" max="36" width="2" style="298" customWidth="1"/>
    <col min="37" max="16384" width="8.85546875" style="298"/>
  </cols>
  <sheetData>
    <row r="1" spans="1:37" ht="66" customHeight="1" thickBot="1">
      <c r="B1" s="325"/>
      <c r="C1" s="325"/>
      <c r="D1" s="325"/>
      <c r="E1" s="1322" t="s">
        <v>702</v>
      </c>
      <c r="F1" s="1322"/>
      <c r="G1" s="1322"/>
      <c r="H1" s="1322"/>
      <c r="I1" s="1322"/>
      <c r="J1" s="1322"/>
      <c r="K1" s="1322"/>
      <c r="L1" s="1322"/>
      <c r="M1" s="1322"/>
      <c r="N1" s="324"/>
      <c r="O1" s="322"/>
      <c r="P1" s="322"/>
      <c r="Q1" s="322"/>
      <c r="R1" s="323"/>
      <c r="AK1" s="290"/>
    </row>
    <row r="2" spans="1:37" ht="16.350000000000001" customHeight="1" thickBot="1">
      <c r="A2" s="650" t="s">
        <v>93</v>
      </c>
      <c r="B2" s="644"/>
      <c r="C2" s="389" t="s">
        <v>532</v>
      </c>
      <c r="D2" s="389"/>
      <c r="E2" s="389"/>
      <c r="F2" s="389"/>
      <c r="G2" s="389"/>
      <c r="H2" s="389"/>
      <c r="I2" s="983" t="s">
        <v>832</v>
      </c>
      <c r="J2" s="983"/>
      <c r="K2" s="978" t="str">
        <f>IF(ISBLANK('Design Summary'!Q3)," ",'Design Summary'!Q3)</f>
        <v xml:space="preserve"> </v>
      </c>
      <c r="L2" s="978"/>
      <c r="M2" s="389"/>
      <c r="N2" s="389"/>
      <c r="O2" s="389"/>
      <c r="P2" s="389"/>
      <c r="Q2" s="389"/>
      <c r="R2" s="716"/>
      <c r="S2" s="716" t="str">
        <f>'Drop-Down Lists'!J40</f>
        <v>v 04.20.2016</v>
      </c>
      <c r="T2" s="290"/>
      <c r="U2" s="290"/>
      <c r="V2" s="290"/>
      <c r="W2" s="290"/>
      <c r="X2" s="290"/>
      <c r="Y2" s="290"/>
      <c r="Z2" s="290"/>
      <c r="AA2" s="290"/>
      <c r="AB2" s="290"/>
    </row>
    <row r="3" spans="1:37" ht="3.6" customHeight="1">
      <c r="A3" s="370"/>
      <c r="B3" s="371"/>
      <c r="C3" s="372"/>
      <c r="D3" s="372"/>
      <c r="E3" s="372"/>
      <c r="F3" s="372"/>
      <c r="G3" s="372"/>
      <c r="H3" s="372"/>
      <c r="I3" s="372"/>
      <c r="J3" s="372"/>
      <c r="K3" s="372"/>
      <c r="L3" s="372"/>
      <c r="M3" s="372"/>
      <c r="N3" s="372"/>
      <c r="O3" s="372"/>
      <c r="P3" s="372"/>
      <c r="Q3" s="372"/>
      <c r="R3" s="373"/>
      <c r="S3" s="374"/>
    </row>
    <row r="4" spans="1:37" ht="19.899999999999999" customHeight="1">
      <c r="A4" s="314"/>
      <c r="B4" s="291" t="s">
        <v>154</v>
      </c>
      <c r="C4" s="285" t="s">
        <v>316</v>
      </c>
      <c r="D4" s="285"/>
      <c r="E4" s="285"/>
      <c r="F4" s="285"/>
      <c r="G4" s="285"/>
      <c r="H4" s="976" t="str">
        <f>IF('Design Summary'!Y40=0,"",IF('Design Summary'!Y40=4,'Design Summary'!D9,""))</f>
        <v/>
      </c>
      <c r="I4" s="977"/>
      <c r="J4" s="285" t="s">
        <v>317</v>
      </c>
      <c r="K4" s="285"/>
      <c r="M4" s="291"/>
      <c r="N4" s="291"/>
      <c r="O4" s="291"/>
      <c r="P4" s="291"/>
      <c r="Q4" s="291"/>
      <c r="R4" s="290"/>
      <c r="S4" s="715"/>
      <c r="U4" s="319"/>
      <c r="V4" s="319"/>
      <c r="W4" s="319"/>
      <c r="X4" s="319"/>
      <c r="Y4" s="319"/>
      <c r="Z4" s="319"/>
      <c r="AA4" s="319"/>
      <c r="AB4" s="319"/>
    </row>
    <row r="5" spans="1:37" ht="3.6" customHeight="1">
      <c r="A5" s="314"/>
      <c r="B5" s="291"/>
      <c r="C5" s="285"/>
      <c r="D5" s="285"/>
      <c r="E5" s="285"/>
      <c r="F5" s="285"/>
      <c r="G5" s="285"/>
      <c r="H5" s="288"/>
      <c r="I5" s="288"/>
      <c r="J5" s="285"/>
      <c r="K5" s="285"/>
      <c r="M5" s="291"/>
      <c r="N5" s="291"/>
      <c r="O5" s="291"/>
      <c r="P5" s="291"/>
      <c r="Q5" s="291"/>
      <c r="R5" s="290"/>
      <c r="S5" s="715"/>
      <c r="U5" s="319"/>
      <c r="V5" s="319"/>
      <c r="W5" s="319"/>
      <c r="X5" s="319"/>
      <c r="Y5" s="319"/>
      <c r="Z5" s="319"/>
      <c r="AA5" s="319"/>
      <c r="AB5" s="319"/>
    </row>
    <row r="6" spans="1:37" ht="19.899999999999999" customHeight="1">
      <c r="A6" s="314"/>
      <c r="B6" s="291" t="s">
        <v>527</v>
      </c>
      <c r="C6" s="285" t="s">
        <v>888</v>
      </c>
      <c r="D6" s="285"/>
      <c r="E6" s="285"/>
      <c r="F6" s="285"/>
      <c r="G6" s="285"/>
      <c r="H6" s="964" t="str">
        <f>IF('Design Summary'!Y40=0,"",IF('Design Summary'!Y40=4,'Design Summary'!P52,""))</f>
        <v/>
      </c>
      <c r="I6" s="974"/>
      <c r="J6" s="285" t="s">
        <v>91</v>
      </c>
      <c r="K6" s="285"/>
      <c r="M6" s="317"/>
      <c r="N6" s="317"/>
      <c r="O6" s="291"/>
      <c r="P6" s="291"/>
      <c r="Q6" s="291"/>
      <c r="R6" s="290"/>
      <c r="S6" s="333"/>
      <c r="U6" s="318"/>
      <c r="V6" s="318"/>
      <c r="W6" s="318"/>
      <c r="X6" s="318"/>
      <c r="Y6" s="318"/>
      <c r="Z6" s="318"/>
      <c r="AA6" s="318"/>
      <c r="AB6" s="318"/>
    </row>
    <row r="7" spans="1:37" ht="3.6" customHeight="1">
      <c r="A7" s="314"/>
      <c r="B7" s="291"/>
      <c r="C7" s="285"/>
      <c r="D7" s="285"/>
      <c r="E7" s="285"/>
      <c r="F7" s="285"/>
      <c r="G7" s="285"/>
      <c r="H7" s="282"/>
      <c r="I7" s="282"/>
      <c r="J7" s="285"/>
      <c r="K7" s="285"/>
      <c r="L7" s="285"/>
      <c r="M7" s="317"/>
      <c r="N7" s="317"/>
      <c r="O7" s="291"/>
      <c r="P7" s="291"/>
      <c r="Q7" s="291"/>
      <c r="R7" s="290"/>
      <c r="S7" s="333"/>
      <c r="U7" s="318"/>
      <c r="V7" s="318"/>
      <c r="W7" s="318"/>
      <c r="X7" s="318"/>
      <c r="Y7" s="318"/>
      <c r="Z7" s="318"/>
      <c r="AA7" s="318"/>
      <c r="AB7" s="318"/>
    </row>
    <row r="8" spans="1:37" ht="19.899999999999999" customHeight="1">
      <c r="A8" s="314"/>
      <c r="B8" s="291" t="s">
        <v>156</v>
      </c>
      <c r="C8" s="285" t="s">
        <v>77</v>
      </c>
      <c r="D8" s="285"/>
      <c r="E8" s="285"/>
      <c r="F8" s="285"/>
      <c r="G8" s="285"/>
      <c r="H8" s="959" t="str">
        <f>IF('Design Summary'!Y40=0,"",IF('Design Summary'!Y40=4,('Design Summary'!F50/12),""))</f>
        <v/>
      </c>
      <c r="I8" s="960"/>
      <c r="J8" s="285" t="s">
        <v>97</v>
      </c>
      <c r="M8" s="317"/>
      <c r="N8" s="317"/>
      <c r="O8" s="291"/>
      <c r="P8" s="291"/>
      <c r="Q8" s="291"/>
      <c r="R8" s="290"/>
      <c r="S8" s="333"/>
      <c r="U8" s="285"/>
      <c r="V8" s="285"/>
      <c r="W8" s="285"/>
      <c r="X8" s="285"/>
      <c r="Y8" s="285"/>
      <c r="Z8" s="321"/>
      <c r="AA8" s="321"/>
    </row>
    <row r="9" spans="1:37" ht="3.6" customHeight="1">
      <c r="A9" s="314"/>
      <c r="B9" s="291"/>
      <c r="C9" s="285"/>
      <c r="D9" s="285"/>
      <c r="E9" s="285"/>
      <c r="F9" s="285"/>
      <c r="G9" s="285"/>
      <c r="H9" s="282"/>
      <c r="I9" s="282"/>
      <c r="J9" s="285"/>
      <c r="L9" s="285"/>
      <c r="M9" s="317"/>
      <c r="N9" s="317"/>
      <c r="O9" s="291"/>
      <c r="P9" s="291"/>
      <c r="Q9" s="291"/>
      <c r="R9" s="290"/>
      <c r="S9" s="333"/>
      <c r="U9" s="285"/>
      <c r="V9" s="285"/>
      <c r="W9" s="285"/>
      <c r="X9" s="285"/>
      <c r="Y9" s="285"/>
      <c r="Z9" s="321"/>
      <c r="AA9" s="321"/>
    </row>
    <row r="10" spans="1:37" ht="19.899999999999999" customHeight="1">
      <c r="A10" s="314"/>
      <c r="B10" s="291" t="s">
        <v>476</v>
      </c>
      <c r="C10" s="285" t="s">
        <v>701</v>
      </c>
      <c r="D10" s="285"/>
      <c r="E10" s="285"/>
      <c r="F10" s="285"/>
      <c r="G10" s="285"/>
      <c r="H10" s="959" t="str">
        <f>IF('Design Summary'!Y40=0,"",IF('Design Summary'!Y40=4,'Design Summary'!F60,""))</f>
        <v/>
      </c>
      <c r="I10" s="960"/>
      <c r="J10" s="298" t="s">
        <v>526</v>
      </c>
      <c r="M10" s="317"/>
      <c r="N10" s="317"/>
      <c r="O10" s="291"/>
      <c r="P10" s="291"/>
      <c r="Q10" s="291"/>
      <c r="R10" s="290"/>
      <c r="S10" s="333"/>
      <c r="U10" s="287"/>
      <c r="V10" s="287"/>
      <c r="W10" s="287"/>
      <c r="X10" s="287"/>
      <c r="Y10" s="287"/>
      <c r="Z10" s="281"/>
      <c r="AA10" s="281"/>
      <c r="AB10" s="281"/>
    </row>
    <row r="11" spans="1:37" ht="3.6" customHeight="1">
      <c r="A11" s="314"/>
      <c r="B11" s="291"/>
      <c r="C11" s="285"/>
      <c r="D11" s="285"/>
      <c r="E11" s="285"/>
      <c r="F11" s="285"/>
      <c r="G11" s="285"/>
      <c r="H11" s="321"/>
      <c r="I11" s="321"/>
      <c r="L11" s="285"/>
      <c r="M11" s="317"/>
      <c r="N11" s="317"/>
      <c r="O11" s="291"/>
      <c r="P11" s="291"/>
      <c r="Q11" s="291"/>
      <c r="R11" s="290"/>
      <c r="S11" s="333"/>
      <c r="U11" s="287"/>
      <c r="V11" s="287"/>
      <c r="W11" s="287"/>
      <c r="X11" s="287"/>
      <c r="Y11" s="287"/>
      <c r="Z11" s="281"/>
      <c r="AA11" s="281"/>
      <c r="AB11" s="281"/>
    </row>
    <row r="12" spans="1:37" ht="19.899999999999999" customHeight="1">
      <c r="A12" s="314"/>
      <c r="B12" s="291" t="s">
        <v>477</v>
      </c>
      <c r="C12" s="285" t="s">
        <v>1336</v>
      </c>
      <c r="D12" s="285"/>
      <c r="E12" s="285"/>
      <c r="F12" s="285"/>
      <c r="G12" s="944"/>
      <c r="H12" s="965"/>
      <c r="I12" s="966"/>
      <c r="J12" s="298" t="s">
        <v>91</v>
      </c>
      <c r="M12" s="317"/>
      <c r="N12" s="317"/>
      <c r="O12" s="291"/>
      <c r="P12" s="291"/>
      <c r="Q12" s="291"/>
      <c r="R12" s="290"/>
      <c r="S12" s="333"/>
    </row>
    <row r="13" spans="1:37" ht="3.6" customHeight="1">
      <c r="A13" s="314"/>
      <c r="B13" s="291"/>
      <c r="C13" s="285"/>
      <c r="D13" s="285"/>
      <c r="E13" s="285"/>
      <c r="F13" s="285"/>
      <c r="G13" s="285"/>
      <c r="H13" s="321"/>
      <c r="I13" s="321"/>
      <c r="L13" s="285"/>
      <c r="M13" s="317"/>
      <c r="N13" s="317"/>
      <c r="O13" s="291"/>
      <c r="P13" s="291"/>
      <c r="Q13" s="291"/>
      <c r="R13" s="290"/>
      <c r="S13" s="333"/>
    </row>
    <row r="14" spans="1:37" ht="19.899999999999999" customHeight="1">
      <c r="A14" s="314"/>
      <c r="B14" s="307" t="s">
        <v>539</v>
      </c>
      <c r="C14" s="285" t="s">
        <v>1083</v>
      </c>
      <c r="D14" s="285"/>
      <c r="E14" s="285"/>
      <c r="F14" s="285"/>
      <c r="G14" s="285"/>
      <c r="H14" s="981"/>
      <c r="I14" s="982"/>
      <c r="M14" s="317"/>
      <c r="N14" s="317"/>
      <c r="O14" s="282"/>
      <c r="P14" s="282"/>
      <c r="Q14" s="282"/>
      <c r="R14" s="320"/>
      <c r="S14" s="333"/>
    </row>
    <row r="15" spans="1:37" ht="3.6" customHeight="1">
      <c r="A15" s="314"/>
      <c r="B15" s="307"/>
      <c r="C15" s="285"/>
      <c r="D15" s="285"/>
      <c r="E15" s="285"/>
      <c r="F15" s="285"/>
      <c r="G15" s="285"/>
      <c r="H15" s="282"/>
      <c r="I15" s="282"/>
      <c r="J15" s="285"/>
      <c r="L15" s="317"/>
      <c r="M15" s="646"/>
      <c r="N15" s="317"/>
      <c r="O15" s="282"/>
      <c r="P15" s="282"/>
      <c r="Q15" s="282"/>
      <c r="R15" s="320"/>
      <c r="S15" s="333"/>
    </row>
    <row r="16" spans="1:37" ht="19.899999999999999" customHeight="1">
      <c r="A16" s="314"/>
      <c r="B16" s="307"/>
      <c r="C16" s="285"/>
      <c r="D16" s="285"/>
      <c r="E16" s="285"/>
      <c r="F16" s="285"/>
      <c r="G16" s="285"/>
      <c r="H16" s="351"/>
      <c r="I16" s="351"/>
      <c r="J16" s="285"/>
      <c r="K16" s="285"/>
      <c r="L16" s="660"/>
      <c r="M16" s="660"/>
      <c r="N16" s="660"/>
      <c r="O16" s="660"/>
      <c r="P16" s="660"/>
      <c r="Q16" s="660"/>
      <c r="R16" s="660"/>
      <c r="S16" s="333"/>
      <c r="U16" s="319"/>
      <c r="V16" s="319"/>
      <c r="W16" s="319"/>
      <c r="X16" s="319"/>
      <c r="Y16" s="319"/>
      <c r="Z16" s="319"/>
      <c r="AA16" s="319"/>
      <c r="AB16" s="319"/>
    </row>
    <row r="17" spans="1:28" ht="19.899999999999999" customHeight="1">
      <c r="A17" s="314"/>
      <c r="B17" s="307"/>
      <c r="C17" s="285"/>
      <c r="D17" s="285"/>
      <c r="E17" s="285"/>
      <c r="F17" s="285"/>
      <c r="G17" s="285"/>
      <c r="H17" s="351"/>
      <c r="I17" s="351"/>
      <c r="J17" s="285"/>
      <c r="K17" s="285"/>
      <c r="L17" s="660"/>
      <c r="M17" s="660"/>
      <c r="N17" s="660"/>
      <c r="O17" s="660"/>
      <c r="P17" s="660"/>
      <c r="Q17" s="660"/>
      <c r="R17" s="660"/>
      <c r="S17" s="333"/>
      <c r="U17" s="319"/>
      <c r="V17" s="319"/>
      <c r="W17" s="319"/>
      <c r="X17" s="319"/>
      <c r="Y17" s="319"/>
      <c r="Z17" s="319"/>
      <c r="AA17" s="319"/>
      <c r="AB17" s="319"/>
    </row>
    <row r="18" spans="1:28" ht="19.899999999999999" customHeight="1">
      <c r="A18" s="314"/>
      <c r="B18" s="307"/>
      <c r="C18" s="285"/>
      <c r="D18" s="285"/>
      <c r="E18" s="285"/>
      <c r="F18" s="285"/>
      <c r="G18" s="285"/>
      <c r="H18" s="351"/>
      <c r="I18" s="351"/>
      <c r="J18" s="285"/>
      <c r="K18" s="285"/>
      <c r="L18" s="660"/>
      <c r="M18" s="660"/>
      <c r="N18" s="660"/>
      <c r="O18" s="660"/>
      <c r="P18" s="660"/>
      <c r="Q18" s="660"/>
      <c r="R18" s="660"/>
      <c r="S18" s="333"/>
      <c r="U18" s="319"/>
      <c r="V18" s="319"/>
      <c r="W18" s="319"/>
      <c r="X18" s="319"/>
      <c r="Y18" s="319"/>
      <c r="Z18" s="319"/>
      <c r="AA18" s="319"/>
      <c r="AB18" s="319"/>
    </row>
    <row r="19" spans="1:28" ht="19.899999999999999" customHeight="1">
      <c r="A19" s="314"/>
      <c r="B19" s="307"/>
      <c r="C19" s="285"/>
      <c r="D19" s="285"/>
      <c r="E19" s="285"/>
      <c r="F19" s="285"/>
      <c r="G19" s="285"/>
      <c r="H19" s="351"/>
      <c r="I19" s="351"/>
      <c r="J19" s="285"/>
      <c r="K19" s="285"/>
      <c r="L19" s="660"/>
      <c r="M19" s="660"/>
      <c r="N19" s="660"/>
      <c r="O19" s="660"/>
      <c r="P19" s="660"/>
      <c r="Q19" s="660"/>
      <c r="R19" s="660"/>
      <c r="S19" s="333"/>
      <c r="U19" s="319"/>
      <c r="V19" s="319"/>
      <c r="W19" s="319"/>
      <c r="X19" s="319"/>
      <c r="Y19" s="319"/>
      <c r="Z19" s="319"/>
      <c r="AA19" s="319"/>
      <c r="AB19" s="319"/>
    </row>
    <row r="20" spans="1:28" ht="19.899999999999999" customHeight="1">
      <c r="A20" s="314"/>
      <c r="B20" s="307"/>
      <c r="C20" s="285"/>
      <c r="D20" s="285"/>
      <c r="E20" s="285"/>
      <c r="F20" s="285"/>
      <c r="G20" s="285"/>
      <c r="H20" s="351"/>
      <c r="I20" s="351"/>
      <c r="J20" s="285"/>
      <c r="K20" s="285"/>
      <c r="L20" s="660"/>
      <c r="M20" s="660"/>
      <c r="N20" s="660"/>
      <c r="O20" s="660"/>
      <c r="P20" s="660"/>
      <c r="Q20" s="660"/>
      <c r="R20" s="660"/>
      <c r="S20" s="333"/>
      <c r="U20" s="319"/>
      <c r="V20" s="319"/>
      <c r="W20" s="319"/>
      <c r="X20" s="319"/>
      <c r="Y20" s="319"/>
      <c r="Z20" s="319"/>
      <c r="AA20" s="319"/>
      <c r="AB20" s="319"/>
    </row>
    <row r="21" spans="1:28" ht="19.899999999999999" customHeight="1">
      <c r="A21" s="314"/>
      <c r="B21" s="307"/>
      <c r="C21" s="285"/>
      <c r="D21" s="285"/>
      <c r="E21" s="285"/>
      <c r="F21" s="285"/>
      <c r="G21" s="285"/>
      <c r="H21" s="351"/>
      <c r="I21" s="351"/>
      <c r="J21" s="285"/>
      <c r="K21" s="1002" t="s">
        <v>800</v>
      </c>
      <c r="L21" s="1002"/>
      <c r="M21" s="1002"/>
      <c r="N21" s="1002"/>
      <c r="O21" s="1002"/>
      <c r="P21" s="1002"/>
      <c r="Q21" s="1002"/>
      <c r="R21" s="1002"/>
      <c r="S21" s="333"/>
      <c r="U21" s="319"/>
      <c r="V21" s="319"/>
      <c r="W21" s="319"/>
      <c r="X21" s="319"/>
      <c r="Y21" s="319"/>
      <c r="Z21" s="319"/>
      <c r="AA21" s="319"/>
      <c r="AB21" s="319"/>
    </row>
    <row r="22" spans="1:28" ht="19.899999999999999" customHeight="1">
      <c r="A22" s="314"/>
      <c r="B22" s="307"/>
      <c r="C22" s="285"/>
      <c r="D22" s="285"/>
      <c r="E22" s="285"/>
      <c r="F22" s="285"/>
      <c r="G22" s="285"/>
      <c r="H22" s="351"/>
      <c r="I22" s="351"/>
      <c r="J22" s="663"/>
      <c r="K22" s="1002"/>
      <c r="L22" s="1002"/>
      <c r="M22" s="1002"/>
      <c r="N22" s="1002"/>
      <c r="O22" s="1002"/>
      <c r="P22" s="1002"/>
      <c r="Q22" s="1002"/>
      <c r="R22" s="1002"/>
      <c r="S22" s="333"/>
      <c r="U22" s="319"/>
      <c r="V22" s="319"/>
      <c r="W22" s="319"/>
      <c r="X22" s="319"/>
      <c r="Y22" s="319"/>
      <c r="Z22" s="319"/>
      <c r="AA22" s="319"/>
      <c r="AB22" s="319"/>
    </row>
    <row r="23" spans="1:28" ht="7.9" customHeight="1" thickBot="1">
      <c r="A23" s="314"/>
      <c r="B23" s="307"/>
      <c r="C23" s="285"/>
      <c r="D23" s="285"/>
      <c r="E23" s="285"/>
      <c r="F23" s="285"/>
      <c r="G23" s="285"/>
      <c r="H23" s="351"/>
      <c r="I23" s="351"/>
      <c r="J23" s="647"/>
      <c r="K23" s="1002"/>
      <c r="L23" s="1002"/>
      <c r="M23" s="1002"/>
      <c r="N23" s="1002"/>
      <c r="O23" s="1002"/>
      <c r="P23" s="1002"/>
      <c r="Q23" s="1002"/>
      <c r="R23" s="1002"/>
      <c r="S23" s="333"/>
      <c r="U23" s="319"/>
      <c r="V23" s="319"/>
      <c r="W23" s="319"/>
      <c r="X23" s="319"/>
      <c r="Y23" s="319"/>
      <c r="Z23" s="319"/>
      <c r="AA23" s="319"/>
      <c r="AB23" s="319"/>
    </row>
    <row r="24" spans="1:28" ht="16.350000000000001" customHeight="1" thickBot="1">
      <c r="A24" s="391" t="s">
        <v>94</v>
      </c>
      <c r="B24" s="644"/>
      <c r="C24" s="389" t="s">
        <v>71</v>
      </c>
      <c r="D24" s="389"/>
      <c r="E24" s="389"/>
      <c r="F24" s="389"/>
      <c r="G24" s="389"/>
      <c r="H24" s="389"/>
      <c r="I24" s="389"/>
      <c r="J24" s="389"/>
      <c r="K24" s="389"/>
      <c r="L24" s="389"/>
      <c r="M24" s="389"/>
      <c r="N24" s="389"/>
      <c r="O24" s="389"/>
      <c r="P24" s="389"/>
      <c r="Q24" s="389"/>
      <c r="R24" s="389"/>
      <c r="S24" s="390"/>
      <c r="U24" s="318"/>
      <c r="V24" s="318"/>
      <c r="W24" s="318"/>
      <c r="X24" s="318"/>
      <c r="Y24" s="318"/>
      <c r="Z24" s="318"/>
      <c r="AA24" s="318"/>
      <c r="AB24" s="318"/>
    </row>
    <row r="25" spans="1:28" ht="18" customHeight="1">
      <c r="A25" s="314"/>
      <c r="B25" s="300" t="s">
        <v>154</v>
      </c>
      <c r="C25" s="285" t="s">
        <v>1134</v>
      </c>
      <c r="D25" s="285"/>
      <c r="E25" s="285"/>
      <c r="F25" s="285"/>
      <c r="G25" s="285"/>
      <c r="H25" s="285"/>
      <c r="I25" s="285"/>
      <c r="J25" s="285"/>
      <c r="K25" s="285"/>
      <c r="L25" s="285"/>
      <c r="M25" s="285"/>
      <c r="N25" s="285"/>
      <c r="O25" s="285"/>
      <c r="P25" s="285"/>
      <c r="S25" s="333"/>
      <c r="AB25" s="287"/>
    </row>
    <row r="26" spans="1:28" ht="19.899999999999999" customHeight="1">
      <c r="A26" s="314"/>
      <c r="D26" s="979" t="str">
        <f>IF(ISBLANK(H4),"",H4)</f>
        <v/>
      </c>
      <c r="E26" s="980"/>
      <c r="F26" s="984" t="s">
        <v>1104</v>
      </c>
      <c r="G26" s="985"/>
      <c r="H26" s="959" t="str">
        <f>IF(ISBLANK(H12),"",H12)</f>
        <v/>
      </c>
      <c r="I26" s="960"/>
      <c r="J26" s="285" t="s">
        <v>36</v>
      </c>
      <c r="L26" s="976" t="str">
        <f>IF(ISBLANK(H12),"",D26/H26)</f>
        <v/>
      </c>
      <c r="M26" s="1008"/>
      <c r="N26" s="285" t="s">
        <v>31</v>
      </c>
      <c r="R26" s="298"/>
      <c r="S26" s="333"/>
      <c r="AA26" s="287"/>
      <c r="AB26" s="287"/>
    </row>
    <row r="27" spans="1:28" ht="6" customHeight="1">
      <c r="A27" s="314"/>
      <c r="C27" s="638"/>
      <c r="D27" s="638"/>
      <c r="E27" s="638"/>
      <c r="F27" s="638"/>
      <c r="G27" s="317"/>
      <c r="S27" s="333"/>
    </row>
    <row r="28" spans="1:28" ht="19.899999999999999" customHeight="1">
      <c r="A28" s="314"/>
      <c r="B28" s="988" t="s">
        <v>72</v>
      </c>
      <c r="C28" s="988"/>
      <c r="D28" s="988"/>
      <c r="E28" s="988"/>
      <c r="F28" s="988"/>
      <c r="G28" s="988"/>
      <c r="H28" s="988"/>
      <c r="I28" s="988"/>
      <c r="J28" s="988"/>
      <c r="K28" s="989"/>
      <c r="L28" s="1323"/>
      <c r="M28" s="1324"/>
      <c r="N28" s="285" t="s">
        <v>31</v>
      </c>
      <c r="S28" s="333"/>
    </row>
    <row r="29" spans="1:28" ht="19.899999999999999" customHeight="1">
      <c r="A29" s="314"/>
      <c r="B29" s="300" t="s">
        <v>527</v>
      </c>
      <c r="C29" s="285" t="s">
        <v>1338</v>
      </c>
      <c r="D29" s="285"/>
      <c r="E29" s="285"/>
      <c r="F29" s="285"/>
      <c r="H29" s="965"/>
      <c r="I29" s="966"/>
      <c r="J29" s="285" t="s">
        <v>97</v>
      </c>
      <c r="K29" s="949" t="s">
        <v>1339</v>
      </c>
      <c r="L29" s="944"/>
      <c r="M29" s="945"/>
      <c r="N29" s="945"/>
      <c r="S29" s="333"/>
    </row>
    <row r="30" spans="1:28" ht="18" customHeight="1">
      <c r="A30" s="314"/>
      <c r="B30" s="300" t="s">
        <v>156</v>
      </c>
      <c r="C30" s="285" t="s">
        <v>1132</v>
      </c>
      <c r="D30" s="285"/>
      <c r="E30" s="285"/>
      <c r="F30" s="285"/>
      <c r="G30" s="285"/>
      <c r="H30" s="285"/>
      <c r="I30" s="285"/>
      <c r="J30" s="285"/>
      <c r="K30" s="285"/>
      <c r="L30" s="285"/>
      <c r="M30" s="285"/>
      <c r="S30" s="333"/>
    </row>
    <row r="31" spans="1:28" ht="19.899999999999999" customHeight="1">
      <c r="A31" s="314"/>
      <c r="B31" s="300"/>
      <c r="D31" s="976" t="str">
        <f>IF(ISBLANK(H29),"",H29)</f>
        <v/>
      </c>
      <c r="E31" s="977"/>
      <c r="F31" s="285" t="s">
        <v>1130</v>
      </c>
      <c r="G31" s="959" t="str">
        <f>IF(ISBLANK(H26), "", H26)</f>
        <v/>
      </c>
      <c r="H31" s="960"/>
      <c r="I31" s="285" t="s">
        <v>36</v>
      </c>
      <c r="K31" s="959" t="str">
        <f>IF(ISBLANK(H29),"",D31*G31)</f>
        <v/>
      </c>
      <c r="L31" s="960"/>
      <c r="M31" s="285" t="s">
        <v>1045</v>
      </c>
      <c r="O31" s="718" t="s">
        <v>1088</v>
      </c>
      <c r="R31" s="298"/>
      <c r="S31" s="333"/>
    </row>
    <row r="32" spans="1:28" ht="18" customHeight="1">
      <c r="A32" s="314"/>
      <c r="B32" s="300" t="s">
        <v>476</v>
      </c>
      <c r="C32" s="285" t="s">
        <v>1119</v>
      </c>
      <c r="D32" s="285"/>
      <c r="E32" s="285"/>
      <c r="F32" s="285"/>
      <c r="G32" s="285"/>
      <c r="H32" s="285"/>
      <c r="I32" s="285"/>
      <c r="J32" s="285"/>
      <c r="K32" s="285"/>
      <c r="L32" s="285"/>
      <c r="M32" s="285"/>
      <c r="S32" s="333"/>
    </row>
    <row r="33" spans="1:47" ht="19.899999999999999" customHeight="1">
      <c r="A33" s="314"/>
      <c r="B33" s="300"/>
      <c r="D33" s="976" t="str">
        <f>IF(ISBLANK(H12),"",MAX(L26,L28))</f>
        <v/>
      </c>
      <c r="E33" s="977"/>
      <c r="F33" s="285" t="s">
        <v>1128</v>
      </c>
      <c r="G33" s="959" t="str">
        <f>IF(ISBLANK(H29), "", H29)</f>
        <v/>
      </c>
      <c r="H33" s="960"/>
      <c r="I33" s="285" t="s">
        <v>123</v>
      </c>
      <c r="J33" s="959" t="str">
        <f>IF(ISBLANK(H29),"",D33/G33)</f>
        <v/>
      </c>
      <c r="K33" s="960"/>
      <c r="L33" s="285" t="s">
        <v>97</v>
      </c>
      <c r="S33" s="333"/>
    </row>
    <row r="34" spans="1:47" ht="6" customHeight="1" thickBot="1">
      <c r="A34" s="313"/>
      <c r="B34" s="331"/>
      <c r="C34" s="330"/>
      <c r="D34" s="330"/>
      <c r="E34" s="330"/>
      <c r="F34" s="330"/>
      <c r="G34" s="330"/>
      <c r="H34" s="330"/>
      <c r="I34" s="330"/>
      <c r="J34" s="330"/>
      <c r="K34" s="330"/>
      <c r="L34" s="330"/>
      <c r="M34" s="295"/>
      <c r="N34" s="295"/>
      <c r="O34" s="284"/>
      <c r="P34" s="295"/>
      <c r="Q34" s="295"/>
      <c r="R34" s="283"/>
      <c r="S34" s="328"/>
    </row>
    <row r="35" spans="1:47" ht="16.350000000000001" customHeight="1" thickBot="1">
      <c r="A35" s="650" t="s">
        <v>148</v>
      </c>
      <c r="B35" s="644"/>
      <c r="C35" s="389" t="s">
        <v>92</v>
      </c>
      <c r="D35" s="389"/>
      <c r="E35" s="389"/>
      <c r="F35" s="389"/>
      <c r="G35" s="389"/>
      <c r="H35" s="389"/>
      <c r="I35" s="389"/>
      <c r="J35" s="389"/>
      <c r="K35" s="389"/>
      <c r="L35" s="389"/>
      <c r="M35" s="389"/>
      <c r="N35" s="389"/>
      <c r="O35" s="389"/>
      <c r="P35" s="389"/>
      <c r="Q35" s="389"/>
      <c r="R35" s="389"/>
      <c r="S35" s="390"/>
      <c r="AB35" s="287"/>
      <c r="AS35" s="287"/>
      <c r="AT35" s="287"/>
      <c r="AU35" s="287"/>
    </row>
    <row r="36" spans="1:47" ht="6" customHeight="1">
      <c r="A36" s="370"/>
      <c r="B36" s="371"/>
      <c r="C36" s="372"/>
      <c r="D36" s="372"/>
      <c r="E36" s="372"/>
      <c r="F36" s="372"/>
      <c r="G36" s="372"/>
      <c r="H36" s="372"/>
      <c r="I36" s="372"/>
      <c r="J36" s="372"/>
      <c r="K36" s="372"/>
      <c r="L36" s="372"/>
      <c r="M36" s="712"/>
      <c r="N36" s="712"/>
      <c r="O36" s="713"/>
      <c r="P36" s="712"/>
      <c r="Q36" s="712"/>
      <c r="R36" s="373"/>
      <c r="S36" s="374"/>
    </row>
    <row r="37" spans="1:47" ht="18" customHeight="1">
      <c r="A37" s="314"/>
      <c r="B37" s="297" t="s">
        <v>154</v>
      </c>
      <c r="C37" s="298" t="s">
        <v>1120</v>
      </c>
      <c r="M37" s="286"/>
      <c r="S37" s="333"/>
    </row>
    <row r="38" spans="1:47" ht="19.899999999999999" customHeight="1">
      <c r="A38" s="314"/>
      <c r="B38" s="297"/>
      <c r="D38" s="954">
        <f>H29</f>
        <v>0</v>
      </c>
      <c r="E38" s="955"/>
      <c r="F38" s="285" t="s">
        <v>128</v>
      </c>
      <c r="G38" s="992">
        <f>H14</f>
        <v>0</v>
      </c>
      <c r="H38" s="993"/>
      <c r="I38" s="287" t="s">
        <v>107</v>
      </c>
      <c r="J38" s="954">
        <f>IF(ISBLANK(D38),"",D38*G38)</f>
        <v>0</v>
      </c>
      <c r="K38" s="955"/>
      <c r="L38" s="285" t="s">
        <v>97</v>
      </c>
      <c r="S38" s="333"/>
    </row>
    <row r="39" spans="1:47" ht="6" customHeight="1">
      <c r="A39" s="314"/>
      <c r="B39" s="297"/>
      <c r="C39" s="286"/>
      <c r="D39" s="286"/>
      <c r="E39" s="287"/>
      <c r="F39" s="286"/>
      <c r="G39" s="286"/>
      <c r="H39" s="287"/>
      <c r="I39" s="286"/>
      <c r="J39" s="286"/>
      <c r="K39" s="287"/>
      <c r="S39" s="333"/>
    </row>
    <row r="40" spans="1:47" ht="18" customHeight="1">
      <c r="A40" s="314"/>
      <c r="B40" s="297" t="s">
        <v>527</v>
      </c>
      <c r="C40" s="326" t="s">
        <v>1105</v>
      </c>
      <c r="D40" s="286"/>
      <c r="E40" s="287"/>
      <c r="F40" s="286"/>
      <c r="G40" s="286"/>
      <c r="H40" s="287"/>
      <c r="I40" s="286"/>
      <c r="J40" s="286"/>
      <c r="K40" s="287"/>
      <c r="S40" s="333"/>
    </row>
    <row r="41" spans="1:47" ht="18" customHeight="1">
      <c r="A41" s="314"/>
      <c r="B41" s="297"/>
      <c r="C41" s="298" t="s">
        <v>1121</v>
      </c>
      <c r="S41" s="333"/>
    </row>
    <row r="42" spans="1:47" ht="19.899999999999999" customHeight="1">
      <c r="A42" s="314"/>
      <c r="B42" s="297"/>
      <c r="H42" s="954">
        <f>IF(ISBLANK(H10),"",J38)</f>
        <v>0</v>
      </c>
      <c r="I42" s="955"/>
      <c r="J42" s="285" t="s">
        <v>607</v>
      </c>
      <c r="K42" s="954">
        <f>H29</f>
        <v>0</v>
      </c>
      <c r="L42" s="955"/>
      <c r="M42" s="285" t="s">
        <v>123</v>
      </c>
      <c r="N42" s="954" t="str">
        <f>IF(ISBLANK(H12),"",(H42-K42))</f>
        <v/>
      </c>
      <c r="O42" s="955"/>
      <c r="P42" s="285" t="s">
        <v>97</v>
      </c>
      <c r="S42" s="333"/>
    </row>
    <row r="43" spans="1:47" ht="6" customHeight="1" thickBot="1">
      <c r="A43" s="313"/>
      <c r="B43" s="296"/>
      <c r="C43" s="295"/>
      <c r="D43" s="295"/>
      <c r="E43" s="284"/>
      <c r="F43" s="295"/>
      <c r="G43" s="295"/>
      <c r="H43" s="284"/>
      <c r="I43" s="295"/>
      <c r="J43" s="295"/>
      <c r="K43" s="284"/>
      <c r="L43" s="330"/>
      <c r="M43" s="330"/>
      <c r="N43" s="330"/>
      <c r="O43" s="330"/>
      <c r="P43" s="330"/>
      <c r="Q43" s="330"/>
      <c r="R43" s="283"/>
      <c r="S43" s="328"/>
    </row>
    <row r="44" spans="1:47" s="477" customFormat="1" ht="18" customHeight="1" thickBot="1">
      <c r="A44" s="500" t="s">
        <v>471</v>
      </c>
      <c r="B44" s="499"/>
      <c r="C44" s="498" t="s">
        <v>1095</v>
      </c>
      <c r="D44" s="497"/>
      <c r="E44" s="497"/>
      <c r="F44" s="497"/>
      <c r="G44" s="497"/>
      <c r="H44" s="497"/>
      <c r="I44" s="497"/>
      <c r="J44" s="497"/>
      <c r="K44" s="497"/>
      <c r="L44" s="497"/>
      <c r="M44" s="497"/>
      <c r="N44" s="497"/>
      <c r="O44" s="497"/>
      <c r="P44" s="497"/>
      <c r="Q44" s="497"/>
      <c r="R44" s="497"/>
      <c r="S44" s="496"/>
      <c r="AK44" s="651"/>
      <c r="AM44" s="652"/>
      <c r="AN44" s="653"/>
      <c r="AO44" s="651"/>
      <c r="AQ44" s="653"/>
    </row>
    <row r="45" spans="1:47" s="477" customFormat="1" ht="4.9000000000000004" customHeight="1">
      <c r="A45" s="667"/>
      <c r="B45" s="668"/>
      <c r="C45" s="669"/>
      <c r="D45" s="669"/>
      <c r="E45" s="669"/>
      <c r="F45" s="669"/>
      <c r="G45" s="669"/>
      <c r="H45" s="669"/>
      <c r="I45" s="669"/>
      <c r="J45" s="669"/>
      <c r="K45" s="669"/>
      <c r="L45" s="669"/>
      <c r="M45" s="669"/>
      <c r="N45" s="669"/>
      <c r="O45" s="669"/>
      <c r="P45" s="669"/>
      <c r="Q45" s="669"/>
      <c r="R45" s="669"/>
      <c r="S45" s="670"/>
      <c r="AK45" s="651"/>
      <c r="AM45" s="652"/>
      <c r="AN45" s="653"/>
      <c r="AO45" s="651"/>
      <c r="AQ45" s="653"/>
    </row>
    <row r="46" spans="1:47" s="477" customFormat="1" ht="18" customHeight="1">
      <c r="A46" s="487"/>
      <c r="B46" s="480" t="s">
        <v>154</v>
      </c>
      <c r="C46" s="990" t="s">
        <v>1271</v>
      </c>
      <c r="D46" s="990"/>
      <c r="E46" s="990"/>
      <c r="F46" s="990"/>
      <c r="G46" s="990"/>
      <c r="H46" s="990"/>
      <c r="I46" s="990"/>
      <c r="J46" s="990"/>
      <c r="K46" s="990"/>
      <c r="L46" s="990"/>
      <c r="M46" s="990"/>
      <c r="N46" s="990"/>
      <c r="O46" s="990"/>
      <c r="P46" s="990"/>
      <c r="Q46" s="990"/>
      <c r="R46" s="990"/>
      <c r="S46" s="486"/>
      <c r="AK46" s="651"/>
      <c r="AM46" s="652"/>
      <c r="AN46" s="653"/>
      <c r="AO46" s="651"/>
      <c r="AQ46" s="653"/>
    </row>
    <row r="47" spans="1:47" s="477" customFormat="1" ht="3.6" customHeight="1">
      <c r="A47" s="487"/>
      <c r="B47" s="480"/>
      <c r="S47" s="486"/>
      <c r="AK47" s="651"/>
      <c r="AM47" s="652"/>
      <c r="AN47" s="653"/>
      <c r="AO47" s="651"/>
      <c r="AQ47" s="653"/>
    </row>
    <row r="48" spans="1:47" s="477" customFormat="1" ht="18" customHeight="1">
      <c r="A48" s="487"/>
      <c r="B48" s="480"/>
      <c r="C48" s="981"/>
      <c r="D48" s="982"/>
      <c r="E48" s="856" t="s">
        <v>97</v>
      </c>
      <c r="F48" s="1020"/>
      <c r="G48" s="1020"/>
      <c r="H48" s="482"/>
      <c r="I48" s="963" t="s">
        <v>1272</v>
      </c>
      <c r="J48" s="963"/>
      <c r="K48" s="963"/>
      <c r="L48" s="963"/>
      <c r="M48" s="963"/>
      <c r="N48" s="963"/>
      <c r="O48" s="963"/>
      <c r="P48" s="963"/>
      <c r="Q48" s="963"/>
      <c r="R48" s="963"/>
      <c r="S48" s="486"/>
      <c r="AN48" s="653"/>
      <c r="AS48" s="651"/>
    </row>
    <row r="49" spans="1:43" s="477" customFormat="1" ht="3.6" customHeight="1" thickBot="1">
      <c r="A49" s="676"/>
      <c r="B49" s="503"/>
      <c r="C49" s="677"/>
      <c r="D49" s="677"/>
      <c r="E49" s="677"/>
      <c r="F49" s="677"/>
      <c r="G49" s="677"/>
      <c r="H49" s="677"/>
      <c r="I49" s="677"/>
      <c r="J49" s="677"/>
      <c r="K49" s="677"/>
      <c r="L49" s="677"/>
      <c r="M49" s="677"/>
      <c r="N49" s="677"/>
      <c r="O49" s="677"/>
      <c r="P49" s="677"/>
      <c r="Q49" s="677"/>
      <c r="R49" s="677"/>
      <c r="S49" s="678"/>
    </row>
    <row r="50" spans="1:43" s="477" customFormat="1" ht="18" customHeight="1" thickBot="1">
      <c r="A50" s="500" t="s">
        <v>96</v>
      </c>
      <c r="B50" s="499"/>
      <c r="C50" s="498" t="s">
        <v>1108</v>
      </c>
      <c r="D50" s="497"/>
      <c r="E50" s="497"/>
      <c r="F50" s="497"/>
      <c r="G50" s="497"/>
      <c r="H50" s="497"/>
      <c r="I50" s="497"/>
      <c r="J50" s="497"/>
      <c r="K50" s="497"/>
      <c r="L50" s="497"/>
      <c r="M50" s="497"/>
      <c r="N50" s="497"/>
      <c r="O50" s="497"/>
      <c r="P50" s="497"/>
      <c r="Q50" s="497"/>
      <c r="R50" s="497"/>
      <c r="S50" s="496"/>
      <c r="AK50" s="651"/>
      <c r="AM50" s="652"/>
      <c r="AN50" s="653"/>
      <c r="AO50" s="651"/>
      <c r="AQ50" s="653"/>
    </row>
    <row r="51" spans="1:43" s="477" customFormat="1" ht="4.9000000000000004" customHeight="1">
      <c r="A51" s="667"/>
      <c r="B51" s="668"/>
      <c r="C51" s="669"/>
      <c r="D51" s="669"/>
      <c r="E51" s="669"/>
      <c r="F51" s="669"/>
      <c r="G51" s="669"/>
      <c r="H51" s="669"/>
      <c r="I51" s="669"/>
      <c r="J51" s="669"/>
      <c r="K51" s="669"/>
      <c r="L51" s="669"/>
      <c r="M51" s="669"/>
      <c r="N51" s="669"/>
      <c r="O51" s="669"/>
      <c r="P51" s="669"/>
      <c r="Q51" s="669"/>
      <c r="R51" s="669"/>
      <c r="S51" s="670"/>
      <c r="AK51" s="651"/>
      <c r="AM51" s="652"/>
      <c r="AN51" s="653"/>
      <c r="AO51" s="651"/>
      <c r="AQ51" s="653"/>
    </row>
    <row r="52" spans="1:43" ht="18" customHeight="1">
      <c r="A52" s="314"/>
      <c r="B52" s="297" t="s">
        <v>154</v>
      </c>
      <c r="C52" s="285" t="s">
        <v>1084</v>
      </c>
      <c r="D52" s="285"/>
      <c r="E52" s="285"/>
      <c r="F52" s="285"/>
      <c r="G52" s="285"/>
      <c r="H52" s="1013"/>
      <c r="I52" s="1014"/>
      <c r="J52" s="1014"/>
      <c r="K52" s="1014"/>
      <c r="L52" s="1014"/>
      <c r="M52" s="1014"/>
      <c r="N52" s="1014"/>
      <c r="O52" s="1014"/>
      <c r="P52" s="1015"/>
      <c r="S52" s="333"/>
      <c r="T52" s="655"/>
    </row>
    <row r="53" spans="1:43" ht="6" customHeight="1">
      <c r="A53" s="314"/>
      <c r="S53" s="333"/>
    </row>
    <row r="54" spans="1:43" ht="18" customHeight="1">
      <c r="A54" s="314"/>
      <c r="B54" s="18" t="s">
        <v>527</v>
      </c>
      <c r="C54" s="3" t="s">
        <v>1208</v>
      </c>
      <c r="D54" s="3"/>
      <c r="E54" s="3"/>
      <c r="F54" s="3"/>
      <c r="G54" s="42"/>
      <c r="H54" s="994"/>
      <c r="I54" s="995"/>
      <c r="J54" s="3" t="s">
        <v>97</v>
      </c>
      <c r="K54" s="1054" t="s">
        <v>811</v>
      </c>
      <c r="L54" s="1055"/>
      <c r="M54" s="994"/>
      <c r="N54" s="995"/>
      <c r="O54" s="3" t="s">
        <v>1209</v>
      </c>
      <c r="Q54" s="994"/>
      <c r="R54" s="995"/>
      <c r="S54" s="443" t="s">
        <v>97</v>
      </c>
      <c r="T54" s="1325"/>
      <c r="U54" s="1325"/>
      <c r="V54" s="3"/>
    </row>
    <row r="55" spans="1:43" ht="18" customHeight="1">
      <c r="A55" s="314"/>
      <c r="B55" s="18" t="s">
        <v>156</v>
      </c>
      <c r="C55" s="3" t="s">
        <v>1074</v>
      </c>
      <c r="D55" s="3"/>
      <c r="E55" s="3"/>
      <c r="F55" s="3"/>
      <c r="G55" s="42"/>
      <c r="H55" s="42"/>
      <c r="I55" s="4"/>
      <c r="J55" s="4"/>
      <c r="K55" s="4"/>
      <c r="L55" s="378"/>
      <c r="M55" s="378"/>
      <c r="N55" s="3"/>
      <c r="O55" s="3"/>
      <c r="P55" s="3"/>
      <c r="Q55" s="3"/>
      <c r="R55" s="3"/>
      <c r="S55" s="333"/>
      <c r="T55" s="655"/>
    </row>
    <row r="56" spans="1:43" ht="18" customHeight="1">
      <c r="A56" s="314"/>
      <c r="B56" s="18"/>
      <c r="C56" s="3"/>
      <c r="D56" s="967" t="str">
        <f>IF(ISBLANK(H54),"",J33)</f>
        <v/>
      </c>
      <c r="E56" s="968"/>
      <c r="F56" s="4" t="s">
        <v>784</v>
      </c>
      <c r="G56" s="961" t="str">
        <f>IF(ISBLANK(H54),"",H54)</f>
        <v/>
      </c>
      <c r="H56" s="962"/>
      <c r="I56" s="4" t="s">
        <v>113</v>
      </c>
      <c r="J56" s="998" t="str">
        <f>IF(ISBLANK(H54),"",ROUNDUP((D56/G56),0))</f>
        <v/>
      </c>
      <c r="K56" s="999"/>
      <c r="L56" s="418" t="s">
        <v>790</v>
      </c>
      <c r="M56" s="378"/>
      <c r="N56" s="3"/>
      <c r="O56" s="3"/>
      <c r="P56" s="3"/>
      <c r="Q56" s="3"/>
      <c r="R56" s="3"/>
      <c r="S56" s="333"/>
      <c r="T56" s="655"/>
    </row>
    <row r="57" spans="1:43" s="477" customFormat="1" ht="18" customHeight="1">
      <c r="A57" s="487"/>
      <c r="B57" s="480" t="s">
        <v>476</v>
      </c>
      <c r="C57" s="482" t="s">
        <v>1090</v>
      </c>
      <c r="S57" s="486"/>
    </row>
    <row r="58" spans="1:43" s="477" customFormat="1" ht="18" customHeight="1">
      <c r="A58" s="487"/>
      <c r="B58" s="480"/>
      <c r="C58" s="482"/>
      <c r="D58" s="1276" t="str">
        <f>IF(ISBLANK(J56), "",J56)</f>
        <v/>
      </c>
      <c r="E58" s="1277"/>
      <c r="F58" s="477" t="s">
        <v>1047</v>
      </c>
      <c r="H58" s="490" t="s">
        <v>106</v>
      </c>
      <c r="I58" s="1011">
        <f>IF(ISBLANK(J56), " ",H54)</f>
        <v>0</v>
      </c>
      <c r="J58" s="1016"/>
      <c r="K58" s="996" t="s">
        <v>785</v>
      </c>
      <c r="L58" s="997"/>
      <c r="M58" s="1011" t="str">
        <f>IF(ISBLANK(H54),"", (D58*I58))</f>
        <v/>
      </c>
      <c r="N58" s="1012"/>
      <c r="O58" s="477" t="s">
        <v>97</v>
      </c>
      <c r="S58" s="486"/>
    </row>
    <row r="59" spans="1:43" ht="18" customHeight="1">
      <c r="A59" s="314"/>
      <c r="B59" s="18" t="s">
        <v>477</v>
      </c>
      <c r="C59" s="3" t="s">
        <v>1075</v>
      </c>
      <c r="D59" s="3"/>
      <c r="E59" s="3"/>
      <c r="F59" s="3"/>
      <c r="G59" s="42"/>
      <c r="H59" s="42"/>
      <c r="I59" s="4"/>
      <c r="J59" s="4"/>
      <c r="K59" s="4"/>
      <c r="L59" s="378"/>
      <c r="M59" s="378"/>
      <c r="N59" s="3"/>
      <c r="O59" s="3"/>
      <c r="P59" s="3"/>
      <c r="Q59" s="3"/>
      <c r="R59" s="3"/>
      <c r="S59" s="333"/>
      <c r="T59" s="655"/>
    </row>
    <row r="60" spans="1:43" ht="18" customHeight="1">
      <c r="A60" s="314"/>
      <c r="B60" s="18"/>
      <c r="C60" s="3"/>
      <c r="D60" s="961" t="str">
        <f>IF(ISBLANK(H54),"",H29)</f>
        <v/>
      </c>
      <c r="E60" s="962"/>
      <c r="F60" s="4" t="s">
        <v>782</v>
      </c>
      <c r="G60" s="961" t="str">
        <f>IF(ISBLANK(H54),"",M54)</f>
        <v/>
      </c>
      <c r="H60" s="962"/>
      <c r="I60" s="4" t="s">
        <v>113</v>
      </c>
      <c r="J60" s="967" t="str">
        <f>IF(ISBLANK(H54),"",D60/G60)</f>
        <v/>
      </c>
      <c r="K60" s="968"/>
      <c r="L60" s="419" t="s">
        <v>786</v>
      </c>
      <c r="M60" s="719" t="s">
        <v>1126</v>
      </c>
      <c r="N60" s="3"/>
      <c r="O60" s="3"/>
      <c r="P60" s="3"/>
      <c r="Q60" s="3"/>
      <c r="R60" s="3"/>
      <c r="S60" s="333"/>
      <c r="T60" s="655"/>
    </row>
    <row r="61" spans="1:43" ht="15.6" customHeight="1">
      <c r="A61" s="314"/>
      <c r="B61" s="35" t="s">
        <v>539</v>
      </c>
      <c r="C61" s="3" t="s">
        <v>1076</v>
      </c>
      <c r="D61" s="3"/>
      <c r="E61" s="3"/>
      <c r="F61" s="3"/>
      <c r="G61" s="3"/>
      <c r="H61" s="3"/>
      <c r="I61" s="3"/>
      <c r="J61" s="3"/>
      <c r="K61" s="3"/>
      <c r="L61" s="3"/>
      <c r="M61" s="3"/>
      <c r="N61" s="3"/>
      <c r="O61" s="3"/>
      <c r="P61" s="3"/>
      <c r="Q61" s="3"/>
      <c r="R61" s="3"/>
      <c r="S61" s="333"/>
    </row>
    <row r="62" spans="1:43" ht="18" customHeight="1">
      <c r="A62" s="314"/>
      <c r="B62" s="18"/>
      <c r="C62" s="3"/>
      <c r="D62" s="961" t="str">
        <f>IF(ISBLANK(H54),"",J56)</f>
        <v/>
      </c>
      <c r="E62" s="962"/>
      <c r="F62" s="4" t="s">
        <v>106</v>
      </c>
      <c r="G62" s="961" t="str">
        <f>IF(ISBLANK(H54),"",J60)</f>
        <v/>
      </c>
      <c r="H62" s="962"/>
      <c r="I62" s="4" t="s">
        <v>107</v>
      </c>
      <c r="J62" s="961" t="str">
        <f>IF(ISBLANK(H54),"",D62*G62)</f>
        <v/>
      </c>
      <c r="K62" s="962"/>
      <c r="L62" s="418" t="s">
        <v>783</v>
      </c>
      <c r="M62" s="3"/>
      <c r="N62" s="3"/>
      <c r="O62" s="3"/>
      <c r="P62" s="3"/>
      <c r="Q62" s="3"/>
      <c r="R62" s="3"/>
      <c r="S62" s="333"/>
    </row>
    <row r="63" spans="1:43" ht="6" customHeight="1" thickBot="1">
      <c r="A63" s="313"/>
      <c r="B63" s="331"/>
      <c r="C63" s="295"/>
      <c r="D63" s="295"/>
      <c r="E63" s="284"/>
      <c r="F63" s="295"/>
      <c r="G63" s="295"/>
      <c r="H63" s="330"/>
      <c r="I63" s="330"/>
      <c r="J63" s="330"/>
      <c r="K63" s="330"/>
      <c r="L63" s="330"/>
      <c r="M63" s="330"/>
      <c r="N63" s="330"/>
      <c r="O63" s="330"/>
      <c r="P63" s="330"/>
      <c r="Q63" s="330"/>
      <c r="R63" s="283"/>
      <c r="S63" s="328"/>
    </row>
    <row r="64" spans="1:43" ht="16.350000000000001" customHeight="1" thickBot="1">
      <c r="A64" s="650" t="s">
        <v>98</v>
      </c>
      <c r="B64" s="644"/>
      <c r="C64" s="389" t="s">
        <v>602</v>
      </c>
      <c r="D64" s="389"/>
      <c r="E64" s="389"/>
      <c r="F64" s="389"/>
      <c r="G64" s="389"/>
      <c r="H64" s="389"/>
      <c r="I64" s="389"/>
      <c r="J64" s="389"/>
      <c r="K64" s="389"/>
      <c r="L64" s="389"/>
      <c r="M64" s="389"/>
      <c r="N64" s="389"/>
      <c r="O64" s="389"/>
      <c r="P64" s="389"/>
      <c r="Q64" s="389"/>
      <c r="R64" s="389"/>
      <c r="S64" s="390"/>
      <c r="T64" s="290"/>
      <c r="U64" s="290"/>
      <c r="V64" s="290"/>
      <c r="W64" s="290"/>
      <c r="X64" s="290"/>
      <c r="Y64" s="290"/>
      <c r="Z64" s="290"/>
      <c r="AA64" s="290"/>
      <c r="AB64" s="290"/>
    </row>
    <row r="65" spans="1:43" ht="18" customHeight="1">
      <c r="A65" s="314"/>
      <c r="B65" s="297" t="s">
        <v>154</v>
      </c>
      <c r="C65" s="298" t="s">
        <v>1109</v>
      </c>
      <c r="S65" s="333"/>
    </row>
    <row r="66" spans="1:43" ht="19.899999999999999" customHeight="1">
      <c r="A66" s="314"/>
      <c r="B66" s="297"/>
      <c r="C66" s="310">
        <v>3</v>
      </c>
      <c r="D66" s="287" t="s">
        <v>607</v>
      </c>
      <c r="E66" s="954" t="str">
        <f>H8</f>
        <v/>
      </c>
      <c r="F66" s="955"/>
      <c r="G66" s="287" t="s">
        <v>125</v>
      </c>
      <c r="H66" s="954" t="str">
        <f>IF(ISBLANK(H12),"",MAX(1,3-E66))</f>
        <v/>
      </c>
      <c r="I66" s="955"/>
      <c r="J66" s="285" t="s">
        <v>97</v>
      </c>
      <c r="K66" s="285" t="s">
        <v>720</v>
      </c>
      <c r="P66" s="1314"/>
      <c r="Q66" s="1315"/>
      <c r="R66" s="661" t="s">
        <v>97</v>
      </c>
      <c r="S66" s="333"/>
      <c r="AI66" s="287"/>
      <c r="AJ66" s="291"/>
      <c r="AK66" s="291"/>
      <c r="AL66" s="291"/>
      <c r="AM66" s="291"/>
      <c r="AN66" s="291"/>
      <c r="AO66" s="291"/>
      <c r="AP66" s="291"/>
      <c r="AQ66" s="291"/>
    </row>
    <row r="67" spans="1:43" ht="18" customHeight="1">
      <c r="A67" s="314"/>
      <c r="B67" s="297" t="s">
        <v>527</v>
      </c>
      <c r="C67" s="298" t="s">
        <v>1110</v>
      </c>
      <c r="S67" s="333"/>
      <c r="AI67" s="287"/>
      <c r="AJ67" s="287"/>
      <c r="AK67" s="287"/>
      <c r="AL67" s="287"/>
      <c r="AM67" s="287"/>
      <c r="AN67" s="287"/>
      <c r="AO67" s="287"/>
      <c r="AP67" s="287"/>
      <c r="AQ67" s="287"/>
    </row>
    <row r="68" spans="1:43" ht="19.899999999999999" customHeight="1">
      <c r="A68" s="314"/>
      <c r="B68" s="297"/>
      <c r="C68" s="954" t="str">
        <f>IF(ISBLANK(H12),"",(MAX(H66,P66)))</f>
        <v/>
      </c>
      <c r="D68" s="955"/>
      <c r="E68" s="287" t="s">
        <v>124</v>
      </c>
      <c r="F68" s="785" t="str">
        <f>IF(ISBLANK(H14),"",MAX((Q54+0.5),(C48+0.25)))</f>
        <v/>
      </c>
      <c r="G68" s="287" t="s">
        <v>124</v>
      </c>
      <c r="H68" s="954" t="str">
        <f>IF(ISBLANK(H12),"",1)</f>
        <v/>
      </c>
      <c r="I68" s="955"/>
      <c r="J68" s="287" t="s">
        <v>113</v>
      </c>
      <c r="K68" s="954" t="str">
        <f>IF(ISBLANK(H12),"",(C68+F68+H68))</f>
        <v/>
      </c>
      <c r="L68" s="955"/>
      <c r="M68" s="285" t="s">
        <v>97</v>
      </c>
      <c r="S68" s="333"/>
      <c r="AI68" s="287"/>
      <c r="AJ68" s="287"/>
      <c r="AK68" s="287"/>
      <c r="AL68" s="287"/>
      <c r="AM68" s="287"/>
      <c r="AN68" s="287"/>
      <c r="AO68" s="287"/>
      <c r="AP68" s="287"/>
      <c r="AQ68" s="287"/>
    </row>
    <row r="69" spans="1:43" ht="5.25" customHeight="1">
      <c r="A69" s="314"/>
      <c r="B69" s="297"/>
      <c r="R69" s="298"/>
      <c r="S69" s="333"/>
      <c r="AI69" s="287"/>
      <c r="AJ69" s="308"/>
      <c r="AK69" s="308"/>
      <c r="AL69" s="307"/>
      <c r="AM69" s="307"/>
      <c r="AN69" s="308"/>
      <c r="AO69" s="308"/>
      <c r="AP69" s="307"/>
      <c r="AQ69" s="307"/>
    </row>
    <row r="70" spans="1:43" ht="19.5" customHeight="1">
      <c r="A70" s="314"/>
      <c r="B70" s="297" t="s">
        <v>156</v>
      </c>
      <c r="C70" s="306" t="s">
        <v>1111</v>
      </c>
      <c r="D70" s="346"/>
      <c r="E70" s="346"/>
      <c r="F70" s="346"/>
      <c r="G70" s="346"/>
      <c r="L70" s="1312"/>
      <c r="M70" s="1313"/>
      <c r="N70" s="301"/>
      <c r="S70" s="333"/>
      <c r="AI70" s="287"/>
      <c r="AJ70" s="281"/>
      <c r="AK70" s="281"/>
      <c r="AL70" s="282"/>
      <c r="AM70" s="282"/>
      <c r="AN70" s="281"/>
      <c r="AO70" s="281"/>
      <c r="AP70" s="282"/>
      <c r="AQ70" s="282"/>
    </row>
    <row r="71" spans="1:43" ht="4.1500000000000004" customHeight="1">
      <c r="A71" s="314"/>
      <c r="C71" s="302"/>
      <c r="D71" s="302"/>
      <c r="E71" s="302"/>
      <c r="F71" s="302"/>
      <c r="G71" s="302"/>
      <c r="H71" s="306"/>
      <c r="L71" s="301"/>
      <c r="M71" s="301"/>
      <c r="R71" s="662"/>
      <c r="S71" s="333"/>
      <c r="AI71" s="287"/>
      <c r="AJ71" s="281"/>
      <c r="AK71" s="281"/>
      <c r="AL71" s="282"/>
      <c r="AM71" s="282"/>
      <c r="AN71" s="281"/>
      <c r="AO71" s="281"/>
      <c r="AP71" s="282"/>
      <c r="AQ71" s="282"/>
    </row>
    <row r="72" spans="1:43" ht="20.45" customHeight="1">
      <c r="A72" s="314"/>
      <c r="C72" s="302"/>
      <c r="D72" s="302"/>
      <c r="E72" s="302"/>
      <c r="F72" s="302"/>
      <c r="G72" s="302"/>
      <c r="H72" s="306"/>
      <c r="L72" s="301"/>
      <c r="M72" s="301"/>
      <c r="R72" s="662"/>
      <c r="S72" s="333"/>
      <c r="AI72" s="287"/>
      <c r="AJ72" s="281"/>
      <c r="AK72" s="281"/>
      <c r="AL72" s="282"/>
      <c r="AM72" s="282"/>
      <c r="AN72" s="281"/>
      <c r="AO72" s="281"/>
      <c r="AP72" s="282"/>
      <c r="AQ72" s="282"/>
    </row>
    <row r="73" spans="1:43" ht="20.45" customHeight="1">
      <c r="A73" s="314"/>
      <c r="C73" s="302"/>
      <c r="D73" s="302"/>
      <c r="E73" s="302"/>
      <c r="F73" s="302"/>
      <c r="G73" s="302"/>
      <c r="H73" s="306"/>
      <c r="L73" s="301"/>
      <c r="M73" s="301"/>
      <c r="R73" s="662"/>
      <c r="S73" s="333"/>
      <c r="AI73" s="287"/>
      <c r="AJ73" s="281"/>
      <c r="AK73" s="281"/>
      <c r="AL73" s="282"/>
      <c r="AM73" s="282"/>
      <c r="AN73" s="281"/>
      <c r="AO73" s="281"/>
      <c r="AP73" s="282"/>
      <c r="AQ73" s="282"/>
    </row>
    <row r="74" spans="1:43" ht="18" customHeight="1">
      <c r="A74" s="314"/>
      <c r="B74" s="297" t="s">
        <v>476</v>
      </c>
      <c r="C74" s="298" t="s">
        <v>1112</v>
      </c>
      <c r="S74" s="333"/>
      <c r="AI74" s="287"/>
      <c r="AJ74" s="281"/>
      <c r="AK74" s="281"/>
      <c r="AL74" s="282"/>
      <c r="AM74" s="282"/>
      <c r="AN74" s="281"/>
      <c r="AO74" s="281"/>
      <c r="AP74" s="282"/>
      <c r="AQ74" s="282"/>
    </row>
    <row r="75" spans="1:43" ht="19.899999999999999" customHeight="1">
      <c r="A75" s="314"/>
      <c r="B75" s="297"/>
      <c r="H75" s="1310">
        <f>L70</f>
        <v>0</v>
      </c>
      <c r="I75" s="1311"/>
      <c r="J75" s="287" t="s">
        <v>128</v>
      </c>
      <c r="K75" s="954" t="str">
        <f>K68</f>
        <v/>
      </c>
      <c r="L75" s="955"/>
      <c r="M75" s="287" t="s">
        <v>125</v>
      </c>
      <c r="N75" s="954" t="str">
        <f>IF(ISBLANK(H12),"",H75*K75)</f>
        <v/>
      </c>
      <c r="O75" s="955"/>
      <c r="P75" s="285" t="s">
        <v>97</v>
      </c>
      <c r="S75" s="333"/>
      <c r="AI75" s="287"/>
      <c r="AJ75" s="281"/>
      <c r="AK75" s="281"/>
      <c r="AL75" s="282"/>
      <c r="AM75" s="282"/>
      <c r="AN75" s="281"/>
      <c r="AO75" s="281"/>
      <c r="AP75" s="282"/>
      <c r="AQ75" s="282"/>
    </row>
    <row r="76" spans="1:43" ht="18" customHeight="1">
      <c r="A76" s="314"/>
      <c r="B76" s="297" t="s">
        <v>477</v>
      </c>
      <c r="C76" s="298" t="s">
        <v>1122</v>
      </c>
      <c r="G76" s="299"/>
      <c r="H76" s="304"/>
      <c r="I76" s="287"/>
      <c r="J76" s="286"/>
      <c r="K76" s="303"/>
      <c r="M76" s="286"/>
      <c r="N76" s="286"/>
      <c r="S76" s="333"/>
      <c r="AI76" s="287"/>
      <c r="AJ76" s="281"/>
      <c r="AK76" s="281"/>
      <c r="AL76" s="282"/>
      <c r="AM76" s="282"/>
      <c r="AN76" s="281"/>
      <c r="AO76" s="281"/>
      <c r="AP76" s="282"/>
      <c r="AQ76" s="282"/>
    </row>
    <row r="77" spans="1:43" ht="19.899999999999999" customHeight="1">
      <c r="A77" s="314"/>
      <c r="B77" s="297"/>
      <c r="H77" s="954">
        <f>H29</f>
        <v>0</v>
      </c>
      <c r="I77" s="955"/>
      <c r="J77" s="287" t="s">
        <v>127</v>
      </c>
      <c r="K77" s="959" t="str">
        <f>IF(ISBLANK(H10),"",H10)</f>
        <v/>
      </c>
      <c r="L77" s="960"/>
      <c r="M77" s="1319" t="s">
        <v>37</v>
      </c>
      <c r="N77" s="1320"/>
      <c r="O77" s="964" t="str">
        <f>IF(ISBLANK(H12),"",(H77*K77)/100)</f>
        <v/>
      </c>
      <c r="P77" s="974"/>
      <c r="Q77" s="285" t="s">
        <v>97</v>
      </c>
      <c r="S77" s="333"/>
      <c r="AI77" s="287"/>
      <c r="AJ77" s="281"/>
      <c r="AK77" s="281"/>
      <c r="AL77" s="282"/>
      <c r="AM77" s="282"/>
      <c r="AN77" s="281"/>
      <c r="AO77" s="281"/>
      <c r="AP77" s="282"/>
      <c r="AQ77" s="282"/>
    </row>
    <row r="78" spans="1:43" ht="18" customHeight="1">
      <c r="A78" s="314"/>
      <c r="B78" s="297" t="s">
        <v>539</v>
      </c>
      <c r="C78" s="298" t="s">
        <v>1114</v>
      </c>
      <c r="G78" s="299"/>
      <c r="H78" s="304"/>
      <c r="I78" s="287"/>
      <c r="J78" s="286"/>
      <c r="K78" s="303"/>
      <c r="S78" s="333"/>
      <c r="AI78" s="287"/>
      <c r="AJ78" s="281"/>
      <c r="AK78" s="281"/>
      <c r="AL78" s="282"/>
      <c r="AM78" s="282"/>
      <c r="AN78" s="281"/>
      <c r="AO78" s="281"/>
      <c r="AP78" s="282"/>
      <c r="AQ78" s="282"/>
    </row>
    <row r="79" spans="1:43" ht="19.899999999999999" customHeight="1">
      <c r="A79" s="314"/>
      <c r="B79" s="297"/>
      <c r="H79" s="954" t="str">
        <f>K68</f>
        <v/>
      </c>
      <c r="I79" s="955"/>
      <c r="J79" s="287" t="s">
        <v>124</v>
      </c>
      <c r="K79" s="964" t="str">
        <f>O77</f>
        <v/>
      </c>
      <c r="L79" s="974"/>
      <c r="M79" s="287" t="s">
        <v>125</v>
      </c>
      <c r="N79" s="954" t="str">
        <f>IF(ISBLANK(H12),"",H79+K79)</f>
        <v/>
      </c>
      <c r="O79" s="955"/>
      <c r="P79" s="285" t="s">
        <v>97</v>
      </c>
      <c r="S79" s="333"/>
      <c r="AI79" s="287"/>
      <c r="AJ79" s="281"/>
      <c r="AK79" s="281"/>
      <c r="AL79" s="282"/>
      <c r="AM79" s="282"/>
      <c r="AN79" s="281"/>
      <c r="AO79" s="281"/>
      <c r="AP79" s="282"/>
      <c r="AQ79" s="282"/>
    </row>
    <row r="80" spans="1:43" ht="4.1500000000000004" customHeight="1">
      <c r="A80" s="314"/>
      <c r="B80" s="297"/>
      <c r="C80" s="286"/>
      <c r="D80" s="286"/>
      <c r="E80" s="287"/>
      <c r="F80" s="286"/>
      <c r="G80" s="286"/>
      <c r="S80" s="333"/>
      <c r="AI80" s="287"/>
      <c r="AJ80" s="281"/>
      <c r="AK80" s="281"/>
      <c r="AL80" s="282"/>
      <c r="AM80" s="282"/>
      <c r="AN80" s="281"/>
      <c r="AO80" s="281"/>
      <c r="AP80" s="282"/>
      <c r="AQ80" s="282"/>
    </row>
    <row r="81" spans="1:43" ht="19.899999999999999" customHeight="1">
      <c r="A81" s="314"/>
      <c r="B81" s="297" t="s">
        <v>540</v>
      </c>
      <c r="C81" s="289" t="s">
        <v>1113</v>
      </c>
      <c r="D81" s="289"/>
      <c r="E81" s="289"/>
      <c r="F81" s="289"/>
      <c r="G81" s="289"/>
      <c r="K81" s="301"/>
      <c r="L81" s="1312"/>
      <c r="M81" s="1313"/>
      <c r="N81" s="301"/>
      <c r="S81" s="333"/>
      <c r="AI81" s="287"/>
      <c r="AJ81" s="281"/>
      <c r="AK81" s="281"/>
      <c r="AL81" s="282"/>
      <c r="AM81" s="282"/>
      <c r="AN81" s="281"/>
      <c r="AO81" s="281"/>
      <c r="AP81" s="282"/>
      <c r="AQ81" s="282"/>
    </row>
    <row r="82" spans="1:43" ht="4.1500000000000004" customHeight="1">
      <c r="A82" s="314"/>
      <c r="B82" s="298"/>
      <c r="S82" s="333"/>
      <c r="AI82" s="287"/>
      <c r="AJ82" s="281"/>
      <c r="AK82" s="281"/>
      <c r="AL82" s="282"/>
      <c r="AM82" s="282"/>
      <c r="AN82" s="281"/>
      <c r="AO82" s="281"/>
      <c r="AP82" s="282"/>
      <c r="AQ82" s="282"/>
    </row>
    <row r="83" spans="1:43" ht="20.25" customHeight="1">
      <c r="A83" s="314"/>
      <c r="B83" s="298"/>
      <c r="S83" s="333"/>
      <c r="AI83" s="287"/>
      <c r="AJ83" s="281"/>
      <c r="AK83" s="281"/>
      <c r="AL83" s="282"/>
      <c r="AM83" s="282"/>
      <c r="AN83" s="281"/>
      <c r="AO83" s="281"/>
      <c r="AP83" s="282"/>
      <c r="AQ83" s="282"/>
    </row>
    <row r="84" spans="1:43" ht="20.25" customHeight="1">
      <c r="A84" s="314"/>
      <c r="B84" s="298"/>
      <c r="S84" s="333"/>
      <c r="AI84" s="287"/>
      <c r="AJ84" s="281"/>
      <c r="AK84" s="281"/>
      <c r="AL84" s="282"/>
      <c r="AM84" s="282"/>
      <c r="AN84" s="281"/>
      <c r="AO84" s="281"/>
      <c r="AP84" s="282"/>
      <c r="AQ84" s="282"/>
    </row>
    <row r="85" spans="1:43" ht="18" customHeight="1">
      <c r="A85" s="314"/>
      <c r="B85" s="297" t="s">
        <v>541</v>
      </c>
      <c r="C85" s="298" t="s">
        <v>1115</v>
      </c>
      <c r="S85" s="333"/>
      <c r="AI85" s="287"/>
      <c r="AJ85" s="281"/>
      <c r="AK85" s="281"/>
      <c r="AL85" s="282"/>
      <c r="AM85" s="282"/>
      <c r="AN85" s="281"/>
      <c r="AO85" s="281"/>
      <c r="AP85" s="282"/>
      <c r="AQ85" s="282"/>
    </row>
    <row r="86" spans="1:43" ht="19.899999999999999" customHeight="1">
      <c r="A86" s="314"/>
      <c r="B86" s="297"/>
      <c r="C86" s="299"/>
      <c r="D86" s="299"/>
      <c r="E86" s="287"/>
      <c r="F86" s="286"/>
      <c r="G86" s="286"/>
      <c r="H86" s="1310">
        <f>L81</f>
        <v>0</v>
      </c>
      <c r="I86" s="1311"/>
      <c r="J86" s="287" t="s">
        <v>596</v>
      </c>
      <c r="K86" s="954" t="str">
        <f>N79</f>
        <v/>
      </c>
      <c r="L86" s="955"/>
      <c r="M86" s="287" t="s">
        <v>125</v>
      </c>
      <c r="N86" s="954" t="str">
        <f>IF(ISBLANK(H12),"",H86*K86)</f>
        <v/>
      </c>
      <c r="O86" s="955"/>
      <c r="P86" s="285" t="s">
        <v>97</v>
      </c>
      <c r="S86" s="333"/>
      <c r="AI86" s="287"/>
      <c r="AJ86" s="281"/>
      <c r="AK86" s="281"/>
      <c r="AL86" s="282"/>
      <c r="AM86" s="282"/>
      <c r="AN86" s="281"/>
      <c r="AO86" s="281"/>
      <c r="AP86" s="282"/>
      <c r="AQ86" s="282"/>
    </row>
    <row r="87" spans="1:43" ht="18" customHeight="1">
      <c r="A87" s="314"/>
      <c r="B87" s="297" t="s">
        <v>542</v>
      </c>
      <c r="C87" s="285" t="s">
        <v>1116</v>
      </c>
      <c r="D87" s="285"/>
      <c r="E87" s="285"/>
      <c r="F87" s="285"/>
      <c r="G87" s="285"/>
      <c r="H87" s="285"/>
      <c r="S87" s="333"/>
      <c r="AI87" s="287"/>
      <c r="AJ87" s="281"/>
      <c r="AK87" s="281"/>
      <c r="AL87" s="282"/>
      <c r="AM87" s="282"/>
      <c r="AN87" s="281"/>
      <c r="AO87" s="281"/>
      <c r="AP87" s="282"/>
      <c r="AQ87" s="282"/>
    </row>
    <row r="88" spans="1:43" ht="19.899999999999999" customHeight="1">
      <c r="A88" s="314"/>
      <c r="B88" s="297"/>
      <c r="C88" s="285"/>
      <c r="D88" s="285"/>
      <c r="E88" s="285"/>
      <c r="F88" s="285"/>
      <c r="G88" s="285"/>
      <c r="H88" s="954" t="str">
        <f>N42</f>
        <v/>
      </c>
      <c r="I88" s="958"/>
      <c r="J88" s="287" t="s">
        <v>124</v>
      </c>
      <c r="K88" s="1321" t="str">
        <f>IF(ISBLANK(H12),"",4)</f>
        <v/>
      </c>
      <c r="L88" s="958"/>
      <c r="M88" s="287" t="s">
        <v>125</v>
      </c>
      <c r="N88" s="954" t="str">
        <f>IF(ISBLANK(H12),"",H88+K88)</f>
        <v/>
      </c>
      <c r="O88" s="955"/>
      <c r="P88" s="285" t="s">
        <v>97</v>
      </c>
      <c r="S88" s="333"/>
      <c r="AI88" s="287"/>
      <c r="AJ88" s="281"/>
      <c r="AK88" s="281"/>
      <c r="AL88" s="282"/>
      <c r="AM88" s="282"/>
      <c r="AN88" s="281"/>
      <c r="AO88" s="281"/>
      <c r="AP88" s="282"/>
      <c r="AQ88" s="282"/>
    </row>
    <row r="89" spans="1:43" ht="4.1500000000000004" customHeight="1">
      <c r="A89" s="314"/>
      <c r="B89" s="297"/>
      <c r="C89" s="285"/>
      <c r="D89" s="285"/>
      <c r="E89" s="285"/>
      <c r="F89" s="285"/>
      <c r="G89" s="285"/>
      <c r="H89" s="285"/>
      <c r="I89" s="286"/>
      <c r="J89" s="287"/>
      <c r="K89" s="287"/>
      <c r="M89" s="287"/>
      <c r="N89" s="286"/>
      <c r="S89" s="333"/>
      <c r="AI89" s="287"/>
      <c r="AJ89" s="281"/>
      <c r="AK89" s="281"/>
      <c r="AL89" s="282"/>
      <c r="AM89" s="282"/>
      <c r="AN89" s="281"/>
      <c r="AO89" s="281"/>
      <c r="AP89" s="282"/>
      <c r="AQ89" s="282"/>
    </row>
    <row r="90" spans="1:43" ht="19.899999999999999" customHeight="1">
      <c r="A90" s="314"/>
      <c r="B90" s="300" t="s">
        <v>598</v>
      </c>
      <c r="C90" s="285" t="s">
        <v>1106</v>
      </c>
      <c r="D90" s="285"/>
      <c r="E90" s="285"/>
      <c r="F90" s="285"/>
      <c r="G90" s="285"/>
      <c r="H90" s="285"/>
      <c r="I90" s="285"/>
      <c r="K90" s="954">
        <f>MAX(N86,N88)</f>
        <v>0</v>
      </c>
      <c r="L90" s="955"/>
      <c r="M90" s="285" t="s">
        <v>97</v>
      </c>
      <c r="S90" s="333"/>
      <c r="AI90" s="287"/>
      <c r="AJ90" s="281"/>
      <c r="AK90" s="281"/>
      <c r="AL90" s="282"/>
      <c r="AM90" s="282"/>
      <c r="AN90" s="281"/>
      <c r="AO90" s="281"/>
      <c r="AP90" s="282"/>
      <c r="AQ90" s="282"/>
    </row>
    <row r="91" spans="1:43" ht="4.1500000000000004" customHeight="1">
      <c r="A91" s="314"/>
      <c r="B91" s="300"/>
      <c r="C91" s="285"/>
      <c r="D91" s="285"/>
      <c r="E91" s="285"/>
      <c r="F91" s="285"/>
      <c r="G91" s="285"/>
      <c r="H91" s="285"/>
      <c r="I91" s="285"/>
      <c r="J91" s="286"/>
      <c r="K91" s="286"/>
      <c r="L91" s="287"/>
      <c r="S91" s="333"/>
      <c r="AI91" s="287"/>
      <c r="AJ91" s="281"/>
      <c r="AK91" s="281"/>
      <c r="AL91" s="282"/>
      <c r="AM91" s="282"/>
      <c r="AN91" s="281"/>
      <c r="AO91" s="281"/>
      <c r="AP91" s="282"/>
      <c r="AQ91" s="282"/>
    </row>
    <row r="92" spans="1:43" ht="19.899999999999999" customHeight="1">
      <c r="A92" s="314"/>
      <c r="B92" s="300" t="s">
        <v>599</v>
      </c>
      <c r="C92" s="285" t="s">
        <v>1107</v>
      </c>
      <c r="D92" s="285"/>
      <c r="E92" s="285"/>
      <c r="F92" s="285"/>
      <c r="G92" s="285"/>
      <c r="L92" s="1312"/>
      <c r="M92" s="1313"/>
      <c r="O92" s="947" t="s">
        <v>1337</v>
      </c>
      <c r="P92" s="948"/>
      <c r="Q92" s="948"/>
      <c r="S92" s="333"/>
    </row>
    <row r="93" spans="1:43" ht="18" customHeight="1">
      <c r="A93" s="314"/>
      <c r="B93" s="300" t="s">
        <v>600</v>
      </c>
      <c r="C93" s="285" t="s">
        <v>1123</v>
      </c>
      <c r="D93" s="285"/>
      <c r="E93" s="285"/>
      <c r="F93" s="285"/>
      <c r="G93" s="285"/>
      <c r="H93" s="285"/>
      <c r="I93" s="286"/>
      <c r="J93" s="286"/>
      <c r="K93" s="287"/>
      <c r="S93" s="333"/>
    </row>
    <row r="94" spans="1:43" ht="19.899999999999999" customHeight="1">
      <c r="A94" s="314"/>
      <c r="B94" s="300"/>
      <c r="H94" s="1310">
        <f>L92</f>
        <v>0</v>
      </c>
      <c r="I94" s="1311"/>
      <c r="J94" s="287" t="s">
        <v>557</v>
      </c>
      <c r="K94" s="954" t="str">
        <f>N79</f>
        <v/>
      </c>
      <c r="L94" s="955"/>
      <c r="M94" s="287" t="s">
        <v>125</v>
      </c>
      <c r="N94" s="954" t="str">
        <f>IF(ISBLANK(L92),"",H94*K94)</f>
        <v/>
      </c>
      <c r="O94" s="955"/>
      <c r="P94" s="285" t="s">
        <v>97</v>
      </c>
      <c r="S94" s="333"/>
    </row>
    <row r="95" spans="1:43" ht="18" customHeight="1">
      <c r="A95" s="314"/>
      <c r="B95" s="297" t="s">
        <v>12</v>
      </c>
      <c r="C95" s="298" t="s">
        <v>1117</v>
      </c>
      <c r="S95" s="333"/>
    </row>
    <row r="96" spans="1:43" ht="19.899999999999999" customHeight="1">
      <c r="A96" s="314"/>
      <c r="B96" s="297"/>
      <c r="G96" s="954" t="str">
        <f>N75</f>
        <v/>
      </c>
      <c r="H96" s="955"/>
      <c r="I96" s="287" t="s">
        <v>124</v>
      </c>
      <c r="J96" s="954">
        <f>H29</f>
        <v>0</v>
      </c>
      <c r="K96" s="955"/>
      <c r="L96" s="287" t="s">
        <v>608</v>
      </c>
      <c r="M96" s="954">
        <f>K90</f>
        <v>0</v>
      </c>
      <c r="N96" s="955"/>
      <c r="O96" s="287" t="s">
        <v>125</v>
      </c>
      <c r="P96" s="954" t="str">
        <f>IF(ISBLANK(H12),"",G96+J96+M96)</f>
        <v/>
      </c>
      <c r="Q96" s="955"/>
      <c r="R96" s="285" t="s">
        <v>97</v>
      </c>
      <c r="S96" s="333"/>
    </row>
    <row r="97" spans="1:46" ht="18" customHeight="1">
      <c r="A97" s="314"/>
      <c r="B97" s="297" t="s">
        <v>13</v>
      </c>
      <c r="C97" s="298" t="s">
        <v>1118</v>
      </c>
      <c r="S97" s="333"/>
    </row>
    <row r="98" spans="1:46" ht="19.899999999999999" customHeight="1">
      <c r="A98" s="314"/>
      <c r="B98" s="297"/>
      <c r="G98" s="954" t="str">
        <f>N94</f>
        <v/>
      </c>
      <c r="H98" s="955"/>
      <c r="I98" s="287" t="s">
        <v>124</v>
      </c>
      <c r="J98" s="954">
        <f>MAX(J33,M58)</f>
        <v>0</v>
      </c>
      <c r="K98" s="955"/>
      <c r="L98" s="287" t="s">
        <v>124</v>
      </c>
      <c r="M98" s="954" t="str">
        <f>N94</f>
        <v/>
      </c>
      <c r="N98" s="955"/>
      <c r="O98" s="287" t="s">
        <v>125</v>
      </c>
      <c r="P98" s="954" t="str">
        <f>IF(ISBLANK(L92),"",G98+J98+M98)</f>
        <v/>
      </c>
      <c r="Q98" s="955"/>
      <c r="R98" s="285" t="s">
        <v>97</v>
      </c>
      <c r="S98" s="333"/>
    </row>
    <row r="99" spans="1:46" ht="6" customHeight="1" thickBot="1">
      <c r="A99" s="313"/>
      <c r="B99" s="296"/>
      <c r="C99" s="295"/>
      <c r="D99" s="295"/>
      <c r="E99" s="284"/>
      <c r="F99" s="295"/>
      <c r="G99" s="330"/>
      <c r="H99" s="330"/>
      <c r="I99" s="330"/>
      <c r="J99" s="330"/>
      <c r="K99" s="330"/>
      <c r="L99" s="330"/>
      <c r="M99" s="330"/>
      <c r="N99" s="330"/>
      <c r="O99" s="330"/>
      <c r="P99" s="330"/>
      <c r="Q99" s="330"/>
      <c r="R99" s="283"/>
      <c r="S99" s="328"/>
    </row>
    <row r="100" spans="1:46" ht="16.350000000000001" customHeight="1" thickBot="1">
      <c r="A100" s="391" t="s">
        <v>100</v>
      </c>
      <c r="B100" s="644"/>
      <c r="C100" s="389" t="s">
        <v>700</v>
      </c>
      <c r="D100" s="389"/>
      <c r="E100" s="648"/>
      <c r="F100" s="389"/>
      <c r="G100" s="389"/>
      <c r="H100" s="389"/>
      <c r="I100" s="389"/>
      <c r="J100" s="389"/>
      <c r="K100" s="389"/>
      <c r="L100" s="389"/>
      <c r="M100" s="389"/>
      <c r="N100" s="389"/>
      <c r="O100" s="389"/>
      <c r="P100" s="389"/>
      <c r="Q100" s="389"/>
      <c r="R100" s="389"/>
      <c r="S100" s="390"/>
    </row>
    <row r="101" spans="1:46" ht="15" customHeight="1">
      <c r="A101" s="314"/>
      <c r="B101" s="334"/>
      <c r="S101" s="333"/>
    </row>
    <row r="102" spans="1:46" ht="15" customHeight="1">
      <c r="A102" s="314"/>
      <c r="B102" s="334"/>
      <c r="S102" s="333"/>
      <c r="AR102" s="293"/>
      <c r="AS102" s="293"/>
      <c r="AT102" s="335"/>
    </row>
    <row r="103" spans="1:46" ht="15" customHeight="1">
      <c r="A103" s="314"/>
      <c r="B103" s="334"/>
      <c r="S103" s="333"/>
      <c r="AE103" s="287"/>
      <c r="AF103" s="287"/>
      <c r="AG103" s="287"/>
      <c r="AH103" s="287"/>
      <c r="AI103" s="287"/>
      <c r="AR103" s="293"/>
      <c r="AS103" s="293"/>
      <c r="AT103" s="335"/>
    </row>
    <row r="104" spans="1:46" ht="15" customHeight="1">
      <c r="A104" s="334"/>
      <c r="B104" s="334"/>
      <c r="S104" s="333"/>
      <c r="AK104" s="297"/>
      <c r="AR104" s="293"/>
      <c r="AT104" s="335"/>
    </row>
    <row r="105" spans="1:46" ht="15" customHeight="1">
      <c r="A105" s="334"/>
      <c r="B105" s="334"/>
      <c r="S105" s="333"/>
      <c r="AK105" s="297"/>
      <c r="AR105" s="293"/>
      <c r="AT105" s="335"/>
    </row>
    <row r="106" spans="1:46" ht="15" customHeight="1">
      <c r="A106" s="334"/>
      <c r="B106" s="334"/>
      <c r="S106" s="333"/>
      <c r="AK106" s="297"/>
      <c r="AR106" s="293"/>
      <c r="AT106" s="335"/>
    </row>
    <row r="107" spans="1:46" ht="15" customHeight="1">
      <c r="A107" s="334"/>
      <c r="B107" s="334"/>
      <c r="S107" s="333"/>
      <c r="AK107" s="297"/>
      <c r="AL107" s="311"/>
      <c r="AR107" s="293"/>
      <c r="AT107" s="335"/>
    </row>
    <row r="108" spans="1:46" ht="15" customHeight="1">
      <c r="A108" s="334"/>
      <c r="B108" s="334"/>
      <c r="S108" s="333"/>
      <c r="AT108" s="335"/>
    </row>
    <row r="109" spans="1:46" ht="15" customHeight="1">
      <c r="A109" s="334"/>
      <c r="B109" s="334"/>
      <c r="S109" s="333"/>
      <c r="AT109" s="335"/>
    </row>
    <row r="110" spans="1:46" ht="15" customHeight="1">
      <c r="A110" s="334"/>
      <c r="B110" s="334"/>
      <c r="S110" s="333"/>
      <c r="AT110" s="335"/>
    </row>
    <row r="111" spans="1:46" ht="15" customHeight="1">
      <c r="A111" s="334"/>
      <c r="B111" s="334"/>
      <c r="S111" s="333"/>
      <c r="AT111" s="335"/>
    </row>
    <row r="112" spans="1:46" ht="15" customHeight="1">
      <c r="A112" s="334"/>
      <c r="B112" s="334"/>
      <c r="S112" s="333"/>
      <c r="AT112" s="335"/>
    </row>
    <row r="113" spans="1:46" ht="15" customHeight="1">
      <c r="A113" s="334"/>
      <c r="B113" s="334"/>
      <c r="S113" s="333"/>
      <c r="AT113" s="335"/>
    </row>
    <row r="114" spans="1:46" ht="15" customHeight="1">
      <c r="A114" s="334"/>
      <c r="B114" s="334"/>
      <c r="S114" s="333"/>
    </row>
    <row r="115" spans="1:46" ht="15" customHeight="1">
      <c r="A115" s="334"/>
      <c r="B115" s="334"/>
      <c r="S115" s="333"/>
    </row>
    <row r="116" spans="1:46" ht="15" customHeight="1">
      <c r="A116" s="334"/>
      <c r="B116" s="334"/>
      <c r="S116" s="333"/>
    </row>
    <row r="117" spans="1:46" ht="15" customHeight="1">
      <c r="A117" s="334"/>
      <c r="B117" s="334"/>
      <c r="S117" s="333"/>
    </row>
    <row r="118" spans="1:46" ht="15" customHeight="1">
      <c r="A118" s="334"/>
      <c r="B118" s="334"/>
      <c r="S118" s="333"/>
    </row>
    <row r="119" spans="1:46" ht="15" customHeight="1">
      <c r="A119" s="334"/>
      <c r="B119" s="334"/>
      <c r="S119" s="333"/>
    </row>
    <row r="120" spans="1:46" ht="15" customHeight="1">
      <c r="A120" s="334"/>
      <c r="B120" s="334"/>
      <c r="S120" s="333"/>
    </row>
    <row r="121" spans="1:46" ht="15" customHeight="1">
      <c r="A121" s="334"/>
      <c r="B121" s="334"/>
      <c r="S121" s="333"/>
    </row>
    <row r="122" spans="1:46" ht="15" customHeight="1">
      <c r="A122" s="334"/>
      <c r="B122" s="334"/>
      <c r="S122" s="333"/>
    </row>
    <row r="123" spans="1:46" ht="15" customHeight="1">
      <c r="A123" s="334"/>
      <c r="B123" s="334"/>
      <c r="S123" s="333"/>
    </row>
    <row r="124" spans="1:46" ht="15" customHeight="1">
      <c r="A124" s="334"/>
      <c r="B124" s="334"/>
      <c r="S124" s="333"/>
    </row>
    <row r="125" spans="1:46" ht="15" customHeight="1">
      <c r="A125" s="334"/>
      <c r="B125" s="334"/>
      <c r="S125" s="333"/>
    </row>
    <row r="126" spans="1:46" ht="15" customHeight="1">
      <c r="A126" s="334"/>
      <c r="B126" s="334"/>
      <c r="S126" s="333"/>
    </row>
    <row r="127" spans="1:46" ht="15" customHeight="1">
      <c r="A127" s="334"/>
      <c r="B127" s="334"/>
      <c r="S127" s="333"/>
    </row>
    <row r="128" spans="1:46" ht="15" customHeight="1">
      <c r="A128" s="334"/>
      <c r="B128" s="334"/>
      <c r="S128" s="333"/>
    </row>
    <row r="129" spans="1:50" ht="15" customHeight="1">
      <c r="A129" s="334"/>
      <c r="B129" s="334"/>
      <c r="S129" s="333"/>
    </row>
    <row r="130" spans="1:50" ht="15" customHeight="1">
      <c r="A130" s="334"/>
      <c r="B130" s="334"/>
      <c r="S130" s="333"/>
    </row>
    <row r="131" spans="1:50" ht="15" customHeight="1">
      <c r="A131" s="334"/>
      <c r="B131" s="334"/>
      <c r="S131" s="333"/>
    </row>
    <row r="132" spans="1:50" ht="15" customHeight="1">
      <c r="A132" s="334"/>
      <c r="B132" s="334"/>
      <c r="S132" s="333"/>
    </row>
    <row r="133" spans="1:50" ht="15" customHeight="1">
      <c r="A133" s="334"/>
      <c r="B133" s="334"/>
      <c r="S133" s="333"/>
    </row>
    <row r="134" spans="1:50" ht="15" customHeight="1">
      <c r="A134" s="334"/>
      <c r="B134" s="334"/>
      <c r="S134" s="333"/>
    </row>
    <row r="135" spans="1:50" ht="15" customHeight="1">
      <c r="A135" s="334"/>
      <c r="B135" s="334"/>
      <c r="S135" s="333"/>
    </row>
    <row r="136" spans="1:50" ht="15" customHeight="1">
      <c r="A136" s="334"/>
      <c r="B136" s="334"/>
      <c r="S136" s="333"/>
    </row>
    <row r="137" spans="1:50" ht="15" customHeight="1">
      <c r="A137" s="334"/>
      <c r="B137" s="334"/>
      <c r="S137" s="333"/>
    </row>
    <row r="138" spans="1:50" ht="15" customHeight="1">
      <c r="A138" s="334"/>
      <c r="B138" s="298"/>
      <c r="S138" s="333"/>
    </row>
    <row r="139" spans="1:50" ht="18" customHeight="1">
      <c r="A139" s="314"/>
      <c r="B139" s="290" t="s">
        <v>39</v>
      </c>
      <c r="H139" s="286"/>
      <c r="I139" s="286"/>
      <c r="J139" s="285"/>
      <c r="K139" s="286"/>
      <c r="L139" s="286"/>
      <c r="M139" s="285"/>
      <c r="N139" s="286"/>
      <c r="O139" s="286"/>
      <c r="P139" s="285"/>
      <c r="S139" s="333"/>
    </row>
    <row r="140" spans="1:50" ht="74.45" customHeight="1">
      <c r="A140" s="314"/>
      <c r="B140" s="1316"/>
      <c r="C140" s="1317"/>
      <c r="D140" s="1317"/>
      <c r="E140" s="1317"/>
      <c r="F140" s="1317"/>
      <c r="G140" s="1317"/>
      <c r="H140" s="1317"/>
      <c r="I140" s="1317"/>
      <c r="J140" s="1317"/>
      <c r="K140" s="1317"/>
      <c r="L140" s="1317"/>
      <c r="M140" s="1317"/>
      <c r="N140" s="1317"/>
      <c r="O140" s="1317"/>
      <c r="P140" s="1317"/>
      <c r="Q140" s="1317"/>
      <c r="R140" s="1318"/>
      <c r="S140" s="333"/>
    </row>
    <row r="141" spans="1:50" ht="3.75" customHeight="1">
      <c r="A141" s="800"/>
      <c r="B141" s="369"/>
      <c r="C141" s="369"/>
      <c r="D141" s="369"/>
      <c r="E141" s="369"/>
      <c r="F141" s="369"/>
      <c r="G141" s="369"/>
      <c r="H141" s="369"/>
      <c r="I141" s="369"/>
      <c r="J141" s="369"/>
      <c r="K141" s="369"/>
      <c r="L141" s="369"/>
      <c r="M141" s="369"/>
      <c r="N141" s="369"/>
      <c r="O141" s="369"/>
      <c r="P141" s="369"/>
      <c r="Q141" s="369"/>
      <c r="R141" s="801"/>
      <c r="S141" s="802"/>
    </row>
    <row r="142" spans="1:50">
      <c r="AW142" s="282"/>
      <c r="AX142" s="281"/>
    </row>
    <row r="143" spans="1:50">
      <c r="AW143" s="281"/>
      <c r="AX143" s="282"/>
    </row>
    <row r="144" spans="1:50">
      <c r="AW144" s="282"/>
      <c r="AX144" s="281"/>
    </row>
    <row r="145" spans="1:50">
      <c r="AW145" s="281"/>
      <c r="AX145" s="281"/>
    </row>
    <row r="146" spans="1:50">
      <c r="AW146" s="282"/>
      <c r="AX146" s="281"/>
    </row>
    <row r="147" spans="1:50">
      <c r="AW147" s="281"/>
      <c r="AX147" s="282"/>
    </row>
    <row r="148" spans="1:50">
      <c r="AW148" s="282"/>
      <c r="AX148" s="281"/>
    </row>
    <row r="149" spans="1:50">
      <c r="AW149" s="281"/>
      <c r="AX149" s="281"/>
    </row>
    <row r="150" spans="1:50">
      <c r="A150" s="298"/>
      <c r="B150" s="298"/>
      <c r="R150" s="298"/>
      <c r="AW150" s="282"/>
      <c r="AX150" s="281"/>
    </row>
    <row r="151" spans="1:50">
      <c r="A151" s="298"/>
      <c r="B151" s="298"/>
      <c r="R151" s="298"/>
      <c r="AW151" s="281"/>
      <c r="AX151" s="281"/>
    </row>
    <row r="152" spans="1:50">
      <c r="A152" s="298"/>
      <c r="B152" s="298"/>
      <c r="R152" s="298"/>
      <c r="AW152" s="282"/>
      <c r="AX152" s="282"/>
    </row>
    <row r="153" spans="1:50">
      <c r="A153" s="298"/>
      <c r="B153" s="298"/>
      <c r="R153" s="298"/>
      <c r="AW153" s="281"/>
      <c r="AX153" s="281"/>
    </row>
    <row r="154" spans="1:50">
      <c r="A154" s="298"/>
      <c r="B154" s="298"/>
      <c r="R154" s="298"/>
      <c r="AW154" s="282"/>
      <c r="AX154" s="281"/>
    </row>
    <row r="155" spans="1:50">
      <c r="A155" s="298"/>
      <c r="B155" s="298"/>
      <c r="R155" s="298"/>
      <c r="AW155" s="282"/>
      <c r="AX155" s="281"/>
    </row>
    <row r="156" spans="1:50">
      <c r="A156" s="298"/>
      <c r="B156" s="298"/>
      <c r="R156" s="298"/>
      <c r="AW156" s="281"/>
      <c r="AX156" s="281"/>
    </row>
    <row r="157" spans="1:50">
      <c r="A157" s="298"/>
      <c r="B157" s="298"/>
      <c r="R157" s="298"/>
      <c r="AW157" s="282"/>
      <c r="AX157" s="282"/>
    </row>
    <row r="158" spans="1:50">
      <c r="A158" s="298"/>
      <c r="B158" s="298"/>
      <c r="R158" s="298"/>
      <c r="AW158" s="281"/>
      <c r="AX158" s="281"/>
    </row>
    <row r="159" spans="1:50">
      <c r="A159" s="298"/>
      <c r="B159" s="298"/>
      <c r="R159" s="298"/>
      <c r="AW159" s="282"/>
      <c r="AX159" s="281"/>
    </row>
    <row r="160" spans="1:50">
      <c r="A160" s="298"/>
      <c r="B160" s="298"/>
      <c r="R160" s="298"/>
      <c r="AW160" s="281"/>
      <c r="AX160" s="281"/>
    </row>
    <row r="161" spans="1:50">
      <c r="A161" s="298"/>
      <c r="B161" s="298"/>
      <c r="R161" s="298"/>
      <c r="AW161" s="282"/>
      <c r="AX161" s="281"/>
    </row>
    <row r="162" spans="1:50">
      <c r="A162" s="298"/>
      <c r="B162" s="298"/>
      <c r="R162" s="298"/>
      <c r="AW162" s="281"/>
      <c r="AX162" s="282"/>
    </row>
    <row r="163" spans="1:50">
      <c r="A163" s="298"/>
      <c r="B163" s="298"/>
      <c r="R163" s="298"/>
      <c r="AW163" s="281"/>
      <c r="AX163" s="281"/>
    </row>
    <row r="164" spans="1:50">
      <c r="A164" s="298"/>
      <c r="B164" s="298"/>
      <c r="R164" s="298"/>
      <c r="AW164" s="282"/>
      <c r="AX164" s="281"/>
    </row>
    <row r="165" spans="1:50">
      <c r="A165" s="298"/>
      <c r="B165" s="298"/>
      <c r="R165" s="298"/>
      <c r="AW165" s="282"/>
      <c r="AX165" s="281"/>
    </row>
    <row r="166" spans="1:50">
      <c r="A166" s="298"/>
      <c r="B166" s="298"/>
      <c r="R166" s="298"/>
      <c r="AW166" s="282"/>
      <c r="AX166" s="281"/>
    </row>
    <row r="167" spans="1:50">
      <c r="A167" s="298"/>
      <c r="B167" s="298"/>
      <c r="R167" s="298"/>
      <c r="AW167" s="282"/>
      <c r="AX167" s="281"/>
    </row>
    <row r="168" spans="1:50">
      <c r="A168" s="298"/>
      <c r="B168" s="298"/>
      <c r="R168" s="298"/>
      <c r="AW168" s="282"/>
      <c r="AX168" s="281"/>
    </row>
    <row r="169" spans="1:50">
      <c r="A169" s="298"/>
      <c r="B169" s="298"/>
      <c r="R169" s="298"/>
      <c r="AW169" s="282"/>
      <c r="AX169" s="281"/>
    </row>
    <row r="170" spans="1:50">
      <c r="A170" s="298"/>
      <c r="B170" s="298"/>
      <c r="R170" s="298"/>
      <c r="AW170" s="281"/>
      <c r="AX170" s="281"/>
    </row>
    <row r="171" spans="1:50">
      <c r="A171" s="298"/>
      <c r="B171" s="298"/>
      <c r="R171" s="298"/>
      <c r="AW171" s="281"/>
      <c r="AX171" s="281"/>
    </row>
    <row r="172" spans="1:50">
      <c r="A172" s="298"/>
      <c r="B172" s="298"/>
      <c r="R172" s="298"/>
      <c r="AW172" s="282"/>
      <c r="AX172" s="282"/>
    </row>
    <row r="173" spans="1:50">
      <c r="A173" s="298"/>
      <c r="B173" s="298"/>
      <c r="R173" s="298"/>
      <c r="AW173" s="281"/>
      <c r="AX173" s="281"/>
    </row>
    <row r="174" spans="1:50">
      <c r="A174" s="298"/>
      <c r="B174" s="298"/>
      <c r="R174" s="298"/>
      <c r="AW174" s="281"/>
      <c r="AX174" s="281"/>
    </row>
    <row r="175" spans="1:50">
      <c r="A175" s="298"/>
      <c r="B175" s="298"/>
      <c r="R175" s="298"/>
      <c r="AW175" s="282"/>
      <c r="AX175" s="281"/>
    </row>
    <row r="176" spans="1:50">
      <c r="A176" s="298"/>
      <c r="B176" s="298"/>
      <c r="R176" s="298"/>
      <c r="AW176" s="281"/>
      <c r="AX176" s="281"/>
    </row>
    <row r="177" spans="1:50">
      <c r="A177" s="298"/>
      <c r="B177" s="298"/>
      <c r="R177" s="298"/>
      <c r="AW177" s="281"/>
      <c r="AX177" s="282"/>
    </row>
    <row r="178" spans="1:50">
      <c r="A178" s="298"/>
      <c r="B178" s="298"/>
      <c r="R178" s="298"/>
      <c r="AW178" s="282"/>
      <c r="AX178" s="281"/>
    </row>
    <row r="179" spans="1:50">
      <c r="A179" s="298"/>
      <c r="B179" s="298"/>
      <c r="R179" s="298"/>
      <c r="AW179" s="281"/>
      <c r="AX179" s="281"/>
    </row>
    <row r="180" spans="1:50">
      <c r="A180" s="298"/>
      <c r="B180" s="298"/>
      <c r="R180" s="298"/>
      <c r="AW180" s="281"/>
      <c r="AX180" s="281"/>
    </row>
    <row r="181" spans="1:50">
      <c r="A181" s="298"/>
      <c r="B181" s="298"/>
      <c r="R181" s="298"/>
      <c r="AW181" s="281"/>
      <c r="AX181" s="282"/>
    </row>
    <row r="182" spans="1:50">
      <c r="A182" s="298"/>
      <c r="B182" s="298"/>
      <c r="R182" s="298"/>
      <c r="AW182" s="281"/>
      <c r="AX182" s="282"/>
    </row>
    <row r="183" spans="1:50">
      <c r="A183" s="298"/>
      <c r="B183" s="298"/>
      <c r="R183" s="298"/>
      <c r="AW183" s="281"/>
      <c r="AX183" s="281"/>
    </row>
    <row r="184" spans="1:50">
      <c r="A184" s="298"/>
      <c r="B184" s="298"/>
      <c r="R184" s="298"/>
      <c r="AW184" s="281"/>
      <c r="AX184" s="282"/>
    </row>
    <row r="185" spans="1:50">
      <c r="A185" s="298"/>
      <c r="B185" s="298"/>
      <c r="R185" s="298"/>
      <c r="AW185" s="281"/>
      <c r="AX185" s="281"/>
    </row>
    <row r="186" spans="1:50">
      <c r="A186" s="298"/>
      <c r="B186" s="298"/>
      <c r="R186" s="298"/>
      <c r="AW186" s="281"/>
      <c r="AX186" s="281"/>
    </row>
    <row r="187" spans="1:50">
      <c r="A187" s="298"/>
      <c r="B187" s="298"/>
      <c r="R187" s="298"/>
      <c r="AW187" s="281"/>
      <c r="AX187" s="282"/>
    </row>
    <row r="188" spans="1:50">
      <c r="A188" s="298"/>
      <c r="B188" s="298"/>
      <c r="R188" s="298"/>
      <c r="AW188" s="281"/>
      <c r="AX188" s="281"/>
    </row>
    <row r="189" spans="1:50">
      <c r="A189" s="298"/>
      <c r="B189" s="298"/>
      <c r="R189" s="298"/>
      <c r="AW189" s="281"/>
      <c r="AX189" s="282"/>
    </row>
    <row r="190" spans="1:50">
      <c r="A190" s="298"/>
      <c r="B190" s="298"/>
      <c r="R190" s="298"/>
      <c r="AW190" s="281"/>
      <c r="AX190" s="281"/>
    </row>
    <row r="191" spans="1:50">
      <c r="A191" s="298"/>
      <c r="B191" s="298"/>
      <c r="R191" s="298"/>
      <c r="AW191" s="281"/>
      <c r="AX191" s="281"/>
    </row>
    <row r="192" spans="1:50">
      <c r="A192" s="298"/>
      <c r="B192" s="298"/>
      <c r="R192" s="298"/>
      <c r="AW192" s="281"/>
      <c r="AX192" s="282"/>
    </row>
    <row r="193" spans="1:50">
      <c r="A193" s="298"/>
      <c r="B193" s="298"/>
      <c r="R193" s="298"/>
      <c r="AW193" s="281"/>
      <c r="AX193" s="281"/>
    </row>
    <row r="194" spans="1:50">
      <c r="A194" s="298"/>
      <c r="B194" s="298"/>
      <c r="R194" s="298"/>
      <c r="AX194" s="282"/>
    </row>
    <row r="195" spans="1:50">
      <c r="A195" s="298"/>
      <c r="B195" s="298"/>
      <c r="R195" s="298"/>
      <c r="AX195" s="282"/>
    </row>
    <row r="196" spans="1:50">
      <c r="A196" s="298"/>
      <c r="B196" s="298"/>
      <c r="R196" s="298"/>
      <c r="AX196" s="281"/>
    </row>
    <row r="197" spans="1:50">
      <c r="A197" s="298"/>
      <c r="B197" s="298"/>
      <c r="R197" s="298"/>
      <c r="AX197" s="282"/>
    </row>
    <row r="198" spans="1:50">
      <c r="A198" s="298"/>
      <c r="B198" s="298"/>
      <c r="R198" s="298"/>
      <c r="AX198" s="281"/>
    </row>
    <row r="199" spans="1:50">
      <c r="A199" s="298"/>
      <c r="B199" s="298"/>
      <c r="R199" s="298"/>
      <c r="AX199" s="282"/>
    </row>
    <row r="200" spans="1:50">
      <c r="A200" s="298"/>
      <c r="B200" s="298"/>
      <c r="R200" s="298"/>
      <c r="AX200" s="282"/>
    </row>
    <row r="201" spans="1:50">
      <c r="A201" s="298"/>
      <c r="B201" s="298"/>
      <c r="R201" s="298"/>
      <c r="AX201" s="281"/>
    </row>
    <row r="202" spans="1:50">
      <c r="A202" s="298"/>
      <c r="B202" s="298"/>
      <c r="R202" s="298"/>
      <c r="AX202" s="281"/>
    </row>
    <row r="203" spans="1:50">
      <c r="A203" s="298"/>
      <c r="B203" s="298"/>
      <c r="R203" s="298"/>
      <c r="AX203" s="281"/>
    </row>
    <row r="204" spans="1:50">
      <c r="A204" s="298"/>
      <c r="B204" s="298"/>
      <c r="R204" s="298"/>
      <c r="AX204" s="281"/>
    </row>
    <row r="205" spans="1:50">
      <c r="A205" s="298"/>
      <c r="B205" s="298"/>
      <c r="R205" s="298"/>
      <c r="AX205" s="281"/>
    </row>
    <row r="206" spans="1:50">
      <c r="A206" s="298"/>
      <c r="B206" s="298"/>
      <c r="R206" s="298"/>
      <c r="AX206" s="281"/>
    </row>
    <row r="207" spans="1:50">
      <c r="A207" s="298"/>
      <c r="B207" s="298"/>
      <c r="R207" s="298"/>
      <c r="AX207" s="281"/>
    </row>
  </sheetData>
  <sheetProtection sheet="1" objects="1" scenarios="1"/>
  <customSheetViews>
    <customSheetView guid="{D1431318-1DB8-4C45-813B-5A8065DFC797}" showPageBreaks="1" zeroValues="0" printArea="1" view="pageBreakPreview">
      <selection activeCell="H12" sqref="H12:I12"/>
      <rowBreaks count="2" manualBreakCount="2">
        <brk id="49" max="18" man="1"/>
        <brk id="99" max="18" man="1"/>
      </rowBreaks>
      <pageMargins left="0.4" right="0.4" top="0.4" bottom="0.4" header="0.5" footer="0.5"/>
      <printOptions horizontalCentered="1"/>
      <pageSetup scale="94" fitToHeight="4" orientation="portrait" blackAndWhite="1" r:id="rId1"/>
      <headerFooter alignWithMargins="0"/>
    </customSheetView>
  </customSheetViews>
  <mergeCells count="90">
    <mergeCell ref="T54:U54"/>
    <mergeCell ref="H52:P52"/>
    <mergeCell ref="M54:N54"/>
    <mergeCell ref="I48:R48"/>
    <mergeCell ref="D56:E56"/>
    <mergeCell ref="G56:H56"/>
    <mergeCell ref="J56:K56"/>
    <mergeCell ref="G31:H31"/>
    <mergeCell ref="H54:I54"/>
    <mergeCell ref="H26:I26"/>
    <mergeCell ref="L26:M26"/>
    <mergeCell ref="B28:K28"/>
    <mergeCell ref="L28:M28"/>
    <mergeCell ref="K31:L31"/>
    <mergeCell ref="D33:E33"/>
    <mergeCell ref="G33:H33"/>
    <mergeCell ref="J33:K33"/>
    <mergeCell ref="H29:I29"/>
    <mergeCell ref="D31:E31"/>
    <mergeCell ref="G38:H38"/>
    <mergeCell ref="J38:K38"/>
    <mergeCell ref="D38:E38"/>
    <mergeCell ref="K54:L54"/>
    <mergeCell ref="D26:E26"/>
    <mergeCell ref="F26:G26"/>
    <mergeCell ref="E1:M1"/>
    <mergeCell ref="H8:I8"/>
    <mergeCell ref="H4:I4"/>
    <mergeCell ref="H14:I14"/>
    <mergeCell ref="H12:I12"/>
    <mergeCell ref="H10:I10"/>
    <mergeCell ref="H6:I6"/>
    <mergeCell ref="I2:J2"/>
    <mergeCell ref="K2:L2"/>
    <mergeCell ref="K21:R23"/>
    <mergeCell ref="B140:R140"/>
    <mergeCell ref="E66:F66"/>
    <mergeCell ref="N79:O79"/>
    <mergeCell ref="K68:L68"/>
    <mergeCell ref="L70:M70"/>
    <mergeCell ref="H68:I68"/>
    <mergeCell ref="H88:I88"/>
    <mergeCell ref="K79:L79"/>
    <mergeCell ref="H79:I79"/>
    <mergeCell ref="K86:L86"/>
    <mergeCell ref="H66:I66"/>
    <mergeCell ref="H77:I77"/>
    <mergeCell ref="O77:P77"/>
    <mergeCell ref="L81:M81"/>
    <mergeCell ref="M77:N77"/>
    <mergeCell ref="K88:L88"/>
    <mergeCell ref="H42:I42"/>
    <mergeCell ref="N42:O42"/>
    <mergeCell ref="K77:L77"/>
    <mergeCell ref="H75:I75"/>
    <mergeCell ref="K75:L75"/>
    <mergeCell ref="C46:R46"/>
    <mergeCell ref="C48:D48"/>
    <mergeCell ref="F48:G48"/>
    <mergeCell ref="G60:H60"/>
    <mergeCell ref="N75:O75"/>
    <mergeCell ref="K42:L42"/>
    <mergeCell ref="J62:K62"/>
    <mergeCell ref="Q54:R54"/>
    <mergeCell ref="I58:J58"/>
    <mergeCell ref="K58:L58"/>
    <mergeCell ref="M58:N58"/>
    <mergeCell ref="D58:E58"/>
    <mergeCell ref="C68:D68"/>
    <mergeCell ref="P66:Q66"/>
    <mergeCell ref="D62:E62"/>
    <mergeCell ref="G62:H62"/>
    <mergeCell ref="J60:K60"/>
    <mergeCell ref="D60:E60"/>
    <mergeCell ref="N88:O88"/>
    <mergeCell ref="N86:O86"/>
    <mergeCell ref="H86:I86"/>
    <mergeCell ref="M98:N98"/>
    <mergeCell ref="J98:K98"/>
    <mergeCell ref="K90:L90"/>
    <mergeCell ref="G98:H98"/>
    <mergeCell ref="H94:I94"/>
    <mergeCell ref="G96:H96"/>
    <mergeCell ref="L92:M92"/>
    <mergeCell ref="P96:Q96"/>
    <mergeCell ref="M96:N96"/>
    <mergeCell ref="P98:Q98"/>
    <mergeCell ref="K94:L94"/>
    <mergeCell ref="N94:O94"/>
    <mergeCell ref="J96:K96"/>
  </mergeCells>
  <dataValidations count="6">
    <dataValidation type="list" allowBlank="1" showInputMessage="1" sqref="H14:I14" xr:uid="{00000000-0002-0000-0700-000000000000}">
      <formula1>MoundAbsorptionRatio</formula1>
    </dataValidation>
    <dataValidation type="list" allowBlank="1" showInputMessage="1" prompt="Typical loading rate is 1.2." sqref="H12:I12" xr:uid="{00000000-0002-0000-0700-000001000000}">
      <formula1>MediaLoadRate</formula1>
    </dataValidation>
    <dataValidation allowBlank="1" showInputMessage="1" sqref="H16:I23" xr:uid="{00000000-0002-0000-0700-000002000000}"/>
    <dataValidation type="decimal" operator="greaterThanOrEqual" allowBlank="1" showInputMessage="1" showErrorMessage="1" error="Enter a size that is larger than the minimum above, if so desired." sqref="L28" xr:uid="{00000000-0002-0000-0700-000003000000}">
      <formula1>L26</formula1>
    </dataValidation>
    <dataValidation type="decimal" operator="greaterThanOrEqual" allowBlank="1" showInputMessage="1" showErrorMessage="1" error="Enter a size that is larger than the minimum above, if so desired." sqref="H29" xr:uid="{00000000-0002-0000-0700-000004000000}">
      <formula1>F28</formula1>
    </dataValidation>
    <dataValidation type="list" allowBlank="1" sqref="C48:D48" xr:uid="{00000000-0002-0000-0700-000005000000}">
      <formula1>MediaDepth</formula1>
    </dataValidation>
  </dataValidations>
  <printOptions horizontalCentered="1"/>
  <pageMargins left="0.4" right="0.4" top="0.4" bottom="0.4" header="0.5" footer="0.5"/>
  <pageSetup scale="94" fitToHeight="4" orientation="portrait" blackAndWhite="1" r:id="rId2"/>
  <headerFooter alignWithMargins="0"/>
  <rowBreaks count="2" manualBreakCount="2">
    <brk id="49" max="18" man="1"/>
    <brk id="99" max="18" man="1"/>
  </rowBreaks>
  <drawing r:id="rId3"/>
  <legacyDrawing r:id="rId4"/>
  <oleObjects>
    <mc:AlternateContent xmlns:mc="http://schemas.openxmlformats.org/markup-compatibility/2006">
      <mc:Choice Requires="x14">
        <oleObject progId="Photoshop.Image.4" shapeId="2348414" r:id="rId5">
          <objectPr defaultSize="0" autoPict="0" r:id="rId6">
            <anchor moveWithCells="1">
              <from>
                <xdr:col>0</xdr:col>
                <xdr:colOff>66675</xdr:colOff>
                <xdr:row>71</xdr:row>
                <xdr:rowOff>0</xdr:rowOff>
              </from>
              <to>
                <xdr:col>18</xdr:col>
                <xdr:colOff>19050</xdr:colOff>
                <xdr:row>73</xdr:row>
                <xdr:rowOff>0</xdr:rowOff>
              </to>
            </anchor>
          </objectPr>
        </oleObject>
      </mc:Choice>
      <mc:Fallback>
        <oleObject progId="Photoshop.Image.4" shapeId="2348414" r:id="rId5"/>
      </mc:Fallback>
    </mc:AlternateContent>
    <mc:AlternateContent xmlns:mc="http://schemas.openxmlformats.org/markup-compatibility/2006">
      <mc:Choice Requires="x14">
        <oleObject progId="Photoshop.Image.4" shapeId="2348440" r:id="rId7">
          <objectPr defaultSize="0" autoPict="0" r:id="rId8">
            <anchor moveWithCells="1">
              <from>
                <xdr:col>0</xdr:col>
                <xdr:colOff>85725</xdr:colOff>
                <xdr:row>81</xdr:row>
                <xdr:rowOff>38100</xdr:rowOff>
              </from>
              <to>
                <xdr:col>18</xdr:col>
                <xdr:colOff>0</xdr:colOff>
                <xdr:row>83</xdr:row>
                <xdr:rowOff>238125</xdr:rowOff>
              </to>
            </anchor>
          </objectPr>
        </oleObject>
      </mc:Choice>
      <mc:Fallback>
        <oleObject progId="Photoshop.Image.4" shapeId="2348440" r:id="rId7"/>
      </mc:Fallback>
    </mc:AlternateContent>
    <mc:AlternateContent xmlns:mc="http://schemas.openxmlformats.org/markup-compatibility/2006">
      <mc:Choice Requires="x14">
        <oleObject progId="Photoshop.Image.4" shapeId="2348441" r:id="rId9">
          <objectPr defaultSize="0" autoPict="0" r:id="rId10">
            <anchor moveWithCells="1">
              <from>
                <xdr:col>19</xdr:col>
                <xdr:colOff>104775</xdr:colOff>
                <xdr:row>70</xdr:row>
                <xdr:rowOff>28575</xdr:rowOff>
              </from>
              <to>
                <xdr:col>36</xdr:col>
                <xdr:colOff>133350</xdr:colOff>
                <xdr:row>72</xdr:row>
                <xdr:rowOff>247650</xdr:rowOff>
              </to>
            </anchor>
          </objectPr>
        </oleObject>
      </mc:Choice>
      <mc:Fallback>
        <oleObject progId="Photoshop.Image.4" shapeId="2348441" r:id="rId9"/>
      </mc:Fallback>
    </mc:AlternateContent>
    <mc:AlternateContent xmlns:mc="http://schemas.openxmlformats.org/markup-compatibility/2006">
      <mc:Choice Requires="x14">
        <oleObject progId="Photoshop.Image.4" shapeId="2348442" r:id="rId11">
          <objectPr defaultSize="0" autoPict="0" r:id="rId12">
            <anchor moveWithCells="1">
              <from>
                <xdr:col>19</xdr:col>
                <xdr:colOff>104775</xdr:colOff>
                <xdr:row>81</xdr:row>
                <xdr:rowOff>38100</xdr:rowOff>
              </from>
              <to>
                <xdr:col>36</xdr:col>
                <xdr:colOff>123825</xdr:colOff>
                <xdr:row>83</xdr:row>
                <xdr:rowOff>238125</xdr:rowOff>
              </to>
            </anchor>
          </objectPr>
        </oleObject>
      </mc:Choice>
      <mc:Fallback>
        <oleObject progId="Photoshop.Image.4" shapeId="2348442" r:id="rId11"/>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rgb="FF7030A0"/>
  </sheetPr>
  <dimension ref="A1:BC131"/>
  <sheetViews>
    <sheetView showZeros="0" view="pageBreakPreview" zoomScaleNormal="100" zoomScaleSheetLayoutView="100" workbookViewId="0">
      <selection activeCell="X8" sqref="X8"/>
    </sheetView>
  </sheetViews>
  <sheetFormatPr defaultColWidth="9.140625" defaultRowHeight="15"/>
  <cols>
    <col min="1" max="1" width="2.5703125" style="280" customWidth="1"/>
    <col min="2" max="2" width="2.5703125" style="279" customWidth="1"/>
    <col min="3" max="17" width="7.7109375" style="277" customWidth="1"/>
    <col min="18" max="18" width="7.7109375" style="278" customWidth="1"/>
    <col min="19" max="19" width="2" style="277" customWidth="1"/>
    <col min="20" max="20" width="2.42578125" style="277" customWidth="1"/>
    <col min="21" max="21" width="2.5703125" style="277" customWidth="1"/>
    <col min="22" max="22" width="6.28515625" style="277" customWidth="1"/>
    <col min="23" max="23" width="5.7109375" style="277" customWidth="1"/>
    <col min="24" max="24" width="10.140625" style="277" customWidth="1"/>
    <col min="25" max="25" width="8" style="277" customWidth="1"/>
    <col min="26" max="36" width="5.7109375" style="277" customWidth="1"/>
    <col min="37" max="37" width="2" style="277" customWidth="1"/>
    <col min="38" max="16384" width="9.140625" style="277"/>
  </cols>
  <sheetData>
    <row r="1" spans="1:38" ht="94.5" customHeight="1" thickBot="1">
      <c r="B1" s="325"/>
      <c r="C1" s="325"/>
      <c r="D1" s="325"/>
      <c r="E1" s="975" t="s">
        <v>627</v>
      </c>
      <c r="F1" s="975"/>
      <c r="G1" s="975"/>
      <c r="H1" s="975"/>
      <c r="I1" s="975"/>
      <c r="J1" s="975"/>
      <c r="K1" s="975"/>
      <c r="L1" s="975"/>
      <c r="M1" s="975"/>
      <c r="N1" s="975"/>
      <c r="O1" s="322"/>
      <c r="P1" s="322"/>
      <c r="Q1" s="322"/>
      <c r="R1" s="323"/>
      <c r="S1" s="322"/>
      <c r="AL1" s="290"/>
    </row>
    <row r="2" spans="1:38" ht="15" customHeight="1" thickBot="1">
      <c r="A2" s="451"/>
      <c r="B2" s="452"/>
      <c r="C2" s="452"/>
      <c r="D2" s="452"/>
      <c r="E2" s="452"/>
      <c r="F2" s="452"/>
      <c r="G2" s="452"/>
      <c r="H2" s="452"/>
      <c r="I2" s="1345" t="s">
        <v>832</v>
      </c>
      <c r="J2" s="1345"/>
      <c r="K2" s="1346" t="str">
        <f>IF(ISBLANK('Design Summary'!Q3)," ",'Design Summary'!Q3)</f>
        <v xml:space="preserve"> </v>
      </c>
      <c r="L2" s="1346"/>
      <c r="M2" s="452"/>
      <c r="N2" s="452"/>
      <c r="O2" s="452"/>
      <c r="P2" s="452"/>
      <c r="Q2" s="452"/>
      <c r="R2" s="878" t="str">
        <f>'Drop-Down Lists'!J40</f>
        <v>v 04.20.2016</v>
      </c>
      <c r="S2" s="453"/>
      <c r="T2" s="877"/>
      <c r="U2" s="876"/>
      <c r="V2" s="876"/>
      <c r="W2" s="876"/>
      <c r="AL2" s="290"/>
    </row>
    <row r="3" spans="1:38" ht="15" customHeight="1">
      <c r="A3" s="314"/>
      <c r="B3" s="297" t="s">
        <v>154</v>
      </c>
      <c r="C3" s="298" t="s">
        <v>1305</v>
      </c>
      <c r="D3" s="298"/>
      <c r="E3" s="298"/>
      <c r="F3" s="298"/>
      <c r="G3" s="298"/>
      <c r="H3" s="287"/>
      <c r="I3" s="298"/>
      <c r="J3" s="298"/>
      <c r="K3" s="291"/>
      <c r="L3" s="291"/>
      <c r="M3" s="291"/>
      <c r="N3" s="291"/>
      <c r="O3" s="291"/>
      <c r="P3" s="298"/>
      <c r="Q3" s="298"/>
      <c r="R3" s="285"/>
      <c r="S3" s="333"/>
      <c r="T3" s="876"/>
      <c r="U3" s="876"/>
      <c r="V3" s="876"/>
      <c r="W3" s="876"/>
    </row>
    <row r="4" spans="1:38" ht="19.899999999999999" customHeight="1">
      <c r="A4" s="314"/>
      <c r="B4" s="855" t="s">
        <v>314</v>
      </c>
      <c r="C4" s="1338" t="str">
        <f>IF('Design Summary'!Y40=4,(MAX('Mound &lt;1%'!C51:D51,'Mound &gt;1%'!C48:D48)*12)," ")</f>
        <v xml:space="preserve"> </v>
      </c>
      <c r="D4" s="1339"/>
      <c r="E4" s="285" t="s">
        <v>1273</v>
      </c>
      <c r="F4" s="1343" t="str">
        <f>IF('Design Summary'!Y40=4,3," ")</f>
        <v xml:space="preserve"> </v>
      </c>
      <c r="G4" s="1344"/>
      <c r="H4" s="857" t="s">
        <v>1274</v>
      </c>
      <c r="I4" s="959" t="str">
        <f>IF('Design Summary'!Y40=4,MAX('Mound &lt;1%'!J36,'Mound &gt;1%'!J33)," ")</f>
        <v xml:space="preserve"> </v>
      </c>
      <c r="J4" s="960"/>
      <c r="K4" s="285" t="s">
        <v>128</v>
      </c>
      <c r="L4" s="959" t="str">
        <f>IF('Design Summary'!Y40=4,MAX('Mound &lt;1%'!H32,'Mound &gt;1%'!H29)," ")</f>
        <v xml:space="preserve"> </v>
      </c>
      <c r="M4" s="960"/>
      <c r="N4" s="277" t="s">
        <v>97</v>
      </c>
      <c r="O4" s="303" t="s">
        <v>107</v>
      </c>
      <c r="P4" s="959" t="str">
        <f>IF(('Design Summary'!Y40=4),(C4+F4)/12*I4*L4," ")</f>
        <v xml:space="preserve"> </v>
      </c>
      <c r="Q4" s="960" t="e">
        <f>((#REF!+#REF!)/12)*B4*E4</f>
        <v>#REF!</v>
      </c>
      <c r="R4" s="285" t="s">
        <v>33</v>
      </c>
      <c r="S4" s="333"/>
      <c r="T4" s="876"/>
      <c r="U4" s="876"/>
      <c r="V4" s="876"/>
      <c r="W4" s="939" t="s">
        <v>1276</v>
      </c>
    </row>
    <row r="5" spans="1:38" ht="6" customHeight="1">
      <c r="A5" s="314"/>
      <c r="B5" s="290"/>
      <c r="C5" s="285"/>
      <c r="D5" s="285"/>
      <c r="E5" s="285"/>
      <c r="F5" s="285"/>
      <c r="G5" s="285"/>
      <c r="H5" s="298"/>
      <c r="I5" s="298"/>
      <c r="J5" s="298"/>
      <c r="K5" s="298"/>
      <c r="L5" s="298"/>
      <c r="M5" s="298"/>
      <c r="N5" s="298"/>
      <c r="O5" s="311"/>
      <c r="P5" s="298"/>
      <c r="Q5" s="298"/>
      <c r="R5" s="285"/>
      <c r="S5" s="345"/>
      <c r="W5" s="939"/>
    </row>
    <row r="6" spans="1:38" ht="15" customHeight="1">
      <c r="A6" s="314"/>
      <c r="B6" s="311"/>
      <c r="C6" s="298"/>
      <c r="D6" s="298"/>
      <c r="E6" s="298"/>
      <c r="F6" s="298"/>
      <c r="G6" s="298"/>
      <c r="H6" s="285" t="s">
        <v>70</v>
      </c>
      <c r="I6" s="298"/>
      <c r="J6" s="298"/>
      <c r="K6" s="298"/>
      <c r="L6" s="298"/>
      <c r="M6" s="298"/>
      <c r="N6" s="298"/>
      <c r="O6" s="311"/>
      <c r="P6" s="298"/>
      <c r="Q6" s="298"/>
      <c r="R6" s="285"/>
      <c r="S6" s="333"/>
      <c r="W6" s="939"/>
    </row>
    <row r="7" spans="1:38" ht="19.899999999999999" customHeight="1">
      <c r="A7" s="314"/>
      <c r="B7" s="311"/>
      <c r="C7" s="298"/>
      <c r="D7" s="285"/>
      <c r="E7" s="285"/>
      <c r="F7" s="285"/>
      <c r="G7" s="285"/>
      <c r="H7" s="298"/>
      <c r="I7" s="298"/>
      <c r="J7" s="298"/>
      <c r="K7" s="959" t="str">
        <f>IF('Design Summary'!Y40=0,"",IF('Design Summary'!Y40=1,"",IF('Design Summary'!Y40=2,"",IF('Design Summary'!Y40=3,"",IF('Design Summary'!Y40=5,"",IF('Design Summary'!Y40=4,P4))))))</f>
        <v/>
      </c>
      <c r="L7" s="960"/>
      <c r="M7" s="287" t="s">
        <v>86</v>
      </c>
      <c r="N7" s="335">
        <v>27</v>
      </c>
      <c r="O7" s="287" t="s">
        <v>107</v>
      </c>
      <c r="P7" s="959" t="str">
        <f>IF('Design Summary'!Y40=0,"",IF('Design Summary'!Y40=1,"",IF('Design Summary'!Y40=2,"",IF('Design Summary'!Y40=3,"",IF('Design Summary'!Y40=5,"",IF('Design Summary'!Y40=4,K7/27))))))</f>
        <v/>
      </c>
      <c r="Q7" s="960"/>
      <c r="R7" s="285" t="s">
        <v>34</v>
      </c>
      <c r="S7" s="333"/>
      <c r="W7" s="940">
        <f>IF(ISBLANK('Mound &gt;1%'!H12),0,AVERAGE('Mound &gt;1%'!K68,'Mound &gt;1%'!N79)-2)</f>
        <v>0</v>
      </c>
      <c r="X7" s="717">
        <f>IF(ISBLANK('Mound &lt;1%'!H12),0,('Mound &lt;1%'!C78))</f>
        <v>0</v>
      </c>
      <c r="Y7" s="570"/>
    </row>
    <row r="8" spans="1:38" ht="6" customHeight="1">
      <c r="A8" s="314"/>
      <c r="B8" s="311"/>
      <c r="C8" s="298"/>
      <c r="D8" s="285"/>
      <c r="E8" s="285"/>
      <c r="F8" s="285"/>
      <c r="G8" s="285"/>
      <c r="H8" s="286"/>
      <c r="I8" s="286"/>
      <c r="J8" s="298"/>
      <c r="K8" s="298"/>
      <c r="L8" s="298"/>
      <c r="M8" s="298"/>
      <c r="N8" s="298"/>
      <c r="O8" s="311"/>
      <c r="P8" s="298"/>
      <c r="Q8" s="298"/>
      <c r="R8" s="285"/>
      <c r="S8" s="333"/>
      <c r="W8" s="939"/>
      <c r="X8" s="570"/>
      <c r="Y8" s="570"/>
    </row>
    <row r="9" spans="1:38" ht="19.899999999999999" customHeight="1">
      <c r="A9" s="314"/>
      <c r="B9" s="311"/>
      <c r="C9" s="298" t="s">
        <v>597</v>
      </c>
      <c r="D9" s="298"/>
      <c r="E9" s="298"/>
      <c r="F9" s="298"/>
      <c r="G9" s="298"/>
      <c r="H9" s="298"/>
      <c r="I9" s="298"/>
      <c r="J9" s="298"/>
      <c r="K9" s="959" t="str">
        <f>IF('Design Summary'!Y40=0,"",IF('Design Summary'!Y40=1,"",IF('Design Summary'!Y40=2,"",IF('Design Summary'!Y40=3,"",IF('Design Summary'!Y40=5,"",IF('Design Summary'!Y40=4,P7))))))</f>
        <v/>
      </c>
      <c r="L9" s="960"/>
      <c r="M9" s="287" t="s">
        <v>460</v>
      </c>
      <c r="N9" s="293">
        <v>1.2</v>
      </c>
      <c r="O9" s="287" t="s">
        <v>107</v>
      </c>
      <c r="P9" s="959" t="str">
        <f>IF('Design Summary'!Y40=0,"",IF('Design Summary'!Y40=1,"",IF('Design Summary'!Y40=2,"",IF('Design Summary'!Y40=3,"",IF('Design Summary'!Y40=5,"",IF('Design Summary'!Y40=4,K9*1.2))))))</f>
        <v/>
      </c>
      <c r="Q9" s="960"/>
      <c r="R9" s="285" t="s">
        <v>34</v>
      </c>
      <c r="S9" s="333"/>
      <c r="W9" s="938"/>
    </row>
    <row r="10" spans="1:38" ht="19.899999999999999" customHeight="1">
      <c r="A10" s="314"/>
      <c r="B10" s="311"/>
      <c r="C10" s="298" t="s">
        <v>1304</v>
      </c>
      <c r="D10" s="298"/>
      <c r="E10" s="298"/>
      <c r="F10" s="298"/>
      <c r="G10" s="298"/>
      <c r="H10" s="298"/>
      <c r="I10" s="298"/>
      <c r="J10" s="298"/>
      <c r="K10" s="293"/>
      <c r="L10" s="293"/>
      <c r="M10" s="287"/>
      <c r="N10" s="293"/>
      <c r="O10" s="287"/>
      <c r="P10" s="293"/>
      <c r="Q10" s="293"/>
      <c r="R10" s="285"/>
      <c r="S10" s="333"/>
    </row>
    <row r="11" spans="1:38" ht="6" customHeight="1" thickBot="1">
      <c r="A11" s="313"/>
      <c r="B11" s="329"/>
      <c r="C11" s="283"/>
      <c r="D11" s="283"/>
      <c r="E11" s="283"/>
      <c r="F11" s="283"/>
      <c r="G11" s="283"/>
      <c r="H11" s="330"/>
      <c r="I11" s="330"/>
      <c r="J11" s="330"/>
      <c r="K11" s="330"/>
      <c r="L11" s="330"/>
      <c r="M11" s="330"/>
      <c r="N11" s="330"/>
      <c r="O11" s="330"/>
      <c r="P11" s="295"/>
      <c r="Q11" s="284"/>
      <c r="R11" s="283"/>
      <c r="S11" s="328"/>
    </row>
    <row r="12" spans="1:38" ht="15" customHeight="1">
      <c r="A12" s="370"/>
      <c r="B12" s="371" t="s">
        <v>527</v>
      </c>
      <c r="C12" s="372" t="s">
        <v>40</v>
      </c>
      <c r="D12" s="372"/>
      <c r="E12" s="372"/>
      <c r="F12" s="372"/>
      <c r="G12" s="372"/>
      <c r="H12" s="372"/>
      <c r="I12" s="372"/>
      <c r="J12" s="372"/>
      <c r="K12" s="372"/>
      <c r="L12" s="372"/>
      <c r="M12" s="372"/>
      <c r="N12" s="372"/>
      <c r="O12" s="372"/>
      <c r="P12" s="372"/>
      <c r="Q12" s="372"/>
      <c r="R12" s="373"/>
      <c r="S12" s="374"/>
    </row>
    <row r="13" spans="1:38" ht="15" customHeight="1">
      <c r="A13" s="314"/>
      <c r="B13" s="311"/>
      <c r="C13" s="336" t="s">
        <v>674</v>
      </c>
      <c r="D13" s="298"/>
      <c r="E13" s="298"/>
      <c r="F13" s="298"/>
      <c r="G13" s="298"/>
      <c r="H13" s="298"/>
      <c r="I13" s="298"/>
      <c r="J13" s="298"/>
      <c r="K13" s="298"/>
      <c r="L13" s="298"/>
      <c r="M13" s="298"/>
      <c r="N13" s="298"/>
      <c r="O13" s="298"/>
      <c r="P13" s="298"/>
      <c r="Q13" s="298"/>
      <c r="R13" s="285"/>
      <c r="S13" s="333"/>
    </row>
    <row r="14" spans="1:38" ht="18" customHeight="1">
      <c r="A14" s="314"/>
      <c r="B14" s="311"/>
      <c r="E14" s="426"/>
      <c r="F14" s="298"/>
      <c r="G14" s="959" t="str">
        <f>IF('Design Summary'!Y40=0,"",IF('Design Summary'!Y40=1,"",IF('Design Summary'!Y40=2,"",IF('Design Summary'!Y40=3,"",IF('Design Summary'!Y40=5,"",IF('Design Summary'!Y40=4,MAX(W7,X7)))))))</f>
        <v/>
      </c>
      <c r="H14" s="960"/>
      <c r="I14" s="285" t="s">
        <v>127</v>
      </c>
      <c r="J14" s="959" t="str">
        <f>IF('Design Summary'!Y40=0,"",IF('Design Summary'!Y40=1,"",IF('Design Summary'!Y40=2,"",IF('Design Summary'!Y40=3,"",IF('Design Summary'!Y40=5,"",IF('Design Summary'!Y40=4,MAX('Mound &lt;1%'!H32,'Mound &gt;1%'!H29)))))))</f>
        <v/>
      </c>
      <c r="K14" s="960"/>
      <c r="L14" s="285" t="s">
        <v>127</v>
      </c>
      <c r="M14" s="959" t="str">
        <f>IF('Design Summary'!Y40=0,"",IF('Design Summary'!Y40=1,"",IF('Design Summary'!Y40=2,"",IF('Design Summary'!Y40=3,"",IF('Design Summary'!Y40=5,"",IF('Design Summary'!Y40=4,MAX('Mound &lt;1%'!J36,'Mound &gt;1%'!J33)))))))</f>
        <v/>
      </c>
      <c r="N14" s="960"/>
      <c r="O14" s="326" t="s">
        <v>125</v>
      </c>
      <c r="P14" s="959" t="str">
        <f>IF('Design Summary'!Y40=0,"",IF('Design Summary'!Y40=1,"",IF('Design Summary'!Y40=2,"",IF('Design Summary'!Y40=3,"",IF('Design Summary'!Y40=5,"",IF('Design Summary'!Y40=4,G14*J14*M14))))))</f>
        <v/>
      </c>
      <c r="Q14" s="960"/>
      <c r="R14" s="285" t="s">
        <v>33</v>
      </c>
      <c r="S14" s="333"/>
    </row>
    <row r="15" spans="1:38" ht="6" customHeight="1">
      <c r="A15" s="314"/>
      <c r="B15" s="311"/>
      <c r="C15" s="298"/>
      <c r="D15" s="298"/>
      <c r="E15" s="298"/>
      <c r="F15" s="298"/>
      <c r="G15" s="298"/>
      <c r="H15" s="298"/>
      <c r="I15" s="298"/>
      <c r="J15" s="298"/>
      <c r="K15" s="298"/>
      <c r="L15" s="298"/>
      <c r="M15" s="298"/>
      <c r="N15" s="298"/>
      <c r="O15" s="298"/>
      <c r="P15" s="298"/>
      <c r="Q15" s="298"/>
      <c r="R15" s="285"/>
      <c r="S15" s="333"/>
    </row>
    <row r="16" spans="1:38" ht="15" customHeight="1">
      <c r="A16" s="314"/>
      <c r="B16" s="311"/>
      <c r="C16" s="392" t="s">
        <v>707</v>
      </c>
      <c r="D16" s="393"/>
      <c r="E16" s="393"/>
      <c r="F16" s="393"/>
      <c r="G16" s="393"/>
      <c r="H16" s="393"/>
      <c r="I16" s="393"/>
      <c r="J16" s="393"/>
      <c r="K16" s="393"/>
      <c r="L16" s="393"/>
      <c r="M16" s="393"/>
      <c r="N16" s="393"/>
      <c r="O16" s="393"/>
      <c r="P16" s="393"/>
      <c r="Q16" s="393"/>
      <c r="R16" s="394"/>
      <c r="S16" s="333"/>
    </row>
    <row r="17" spans="1:55" ht="15" customHeight="1">
      <c r="A17" s="314"/>
      <c r="B17" s="311"/>
      <c r="C17" s="365" t="s">
        <v>708</v>
      </c>
      <c r="D17" s="298"/>
      <c r="E17" s="298"/>
      <c r="F17" s="298"/>
      <c r="G17" s="298"/>
      <c r="H17" s="298"/>
      <c r="I17" s="298"/>
      <c r="J17" s="298"/>
      <c r="K17" s="298"/>
      <c r="L17" s="298"/>
      <c r="M17" s="298"/>
      <c r="N17" s="298"/>
      <c r="O17" s="298"/>
      <c r="P17" s="298"/>
      <c r="Q17" s="298"/>
      <c r="R17" s="364"/>
      <c r="S17" s="333"/>
    </row>
    <row r="18" spans="1:55" ht="18" customHeight="1">
      <c r="A18" s="314"/>
      <c r="B18" s="311"/>
      <c r="C18" s="365"/>
      <c r="D18" s="964" t="str">
        <f>IF(ISBLANK('Mound &lt;1%'!H12),"",'Mound &lt;1%'!L78)</f>
        <v/>
      </c>
      <c r="E18" s="958"/>
      <c r="F18" s="287" t="s">
        <v>74</v>
      </c>
      <c r="G18" s="294" t="s">
        <v>106</v>
      </c>
      <c r="H18" s="964" t="str">
        <f>'Mound &lt;1%'!L45</f>
        <v/>
      </c>
      <c r="I18" s="958"/>
      <c r="J18" s="287" t="s">
        <v>106</v>
      </c>
      <c r="K18" s="1321" t="str">
        <f>'Mound &lt;1%'!J36</f>
        <v/>
      </c>
      <c r="L18" s="958"/>
      <c r="M18" s="298" t="s">
        <v>97</v>
      </c>
      <c r="N18" s="287" t="s">
        <v>107</v>
      </c>
      <c r="O18" s="964" t="str">
        <f>IF(ISBLANK('Mound &lt;1%'!H12),"",(D18-1)*H18*K18)</f>
        <v/>
      </c>
      <c r="P18" s="958"/>
      <c r="Q18" s="298"/>
      <c r="R18" s="364"/>
      <c r="S18" s="333"/>
    </row>
    <row r="19" spans="1:55" ht="6" customHeight="1">
      <c r="A19" s="314"/>
      <c r="B19" s="311"/>
      <c r="C19" s="365"/>
      <c r="D19" s="298"/>
      <c r="E19" s="298"/>
      <c r="F19" s="298"/>
      <c r="G19" s="298"/>
      <c r="H19" s="298"/>
      <c r="I19" s="298"/>
      <c r="J19" s="298"/>
      <c r="K19" s="298"/>
      <c r="L19" s="298"/>
      <c r="M19" s="298"/>
      <c r="N19" s="298"/>
      <c r="O19" s="298"/>
      <c r="P19" s="298"/>
      <c r="Q19" s="298"/>
      <c r="R19" s="364"/>
      <c r="S19" s="333"/>
    </row>
    <row r="20" spans="1:55" ht="15" customHeight="1">
      <c r="A20" s="314"/>
      <c r="B20" s="311"/>
      <c r="C20" s="365" t="s">
        <v>709</v>
      </c>
      <c r="D20" s="298"/>
      <c r="E20" s="298"/>
      <c r="F20" s="298"/>
      <c r="G20" s="298"/>
      <c r="H20" s="298"/>
      <c r="I20" s="298"/>
      <c r="J20" s="298"/>
      <c r="K20" s="298"/>
      <c r="L20" s="298"/>
      <c r="M20" s="298"/>
      <c r="N20" s="298"/>
      <c r="O20" s="298"/>
      <c r="P20" s="298"/>
      <c r="Q20" s="298"/>
      <c r="R20" s="364"/>
      <c r="S20" s="333"/>
    </row>
    <row r="21" spans="1:55" ht="18" customHeight="1">
      <c r="A21" s="314"/>
      <c r="B21" s="311"/>
      <c r="C21" s="365"/>
      <c r="D21" s="964" t="str">
        <f>'Mound &lt;1%'!L78</f>
        <v/>
      </c>
      <c r="E21" s="958"/>
      <c r="F21" s="287" t="s">
        <v>74</v>
      </c>
      <c r="G21" s="294" t="s">
        <v>106</v>
      </c>
      <c r="H21" s="964" t="str">
        <f>'Mound &lt;1%'!L45</f>
        <v/>
      </c>
      <c r="I21" s="958"/>
      <c r="J21" s="287" t="s">
        <v>106</v>
      </c>
      <c r="K21" s="976">
        <f>'Mound &lt;1%'!H32</f>
        <v>0</v>
      </c>
      <c r="L21" s="958"/>
      <c r="M21" s="298" t="s">
        <v>97</v>
      </c>
      <c r="N21" s="287" t="s">
        <v>107</v>
      </c>
      <c r="O21" s="964" t="str">
        <f>IF(ISBLANK('Mound &lt;1%'!H12),"",(D21-1)*H21*K21)</f>
        <v/>
      </c>
      <c r="P21" s="958"/>
      <c r="Q21" s="298"/>
      <c r="R21" s="364"/>
      <c r="S21" s="333"/>
      <c r="W21" s="344"/>
    </row>
    <row r="22" spans="1:55" ht="6" customHeight="1">
      <c r="A22" s="314"/>
      <c r="B22" s="311"/>
      <c r="C22" s="365"/>
      <c r="D22" s="281"/>
      <c r="E22" s="287"/>
      <c r="F22" s="287"/>
      <c r="G22" s="294"/>
      <c r="H22" s="281"/>
      <c r="I22" s="287"/>
      <c r="J22" s="298"/>
      <c r="K22" s="287"/>
      <c r="L22" s="287"/>
      <c r="M22" s="298"/>
      <c r="N22" s="298"/>
      <c r="O22" s="281"/>
      <c r="P22" s="287"/>
      <c r="Q22" s="298"/>
      <c r="R22" s="364"/>
      <c r="S22" s="333"/>
      <c r="W22" s="344"/>
    </row>
    <row r="23" spans="1:55" ht="15" customHeight="1">
      <c r="A23" s="314"/>
      <c r="B23" s="311"/>
      <c r="C23" s="363" t="s">
        <v>711</v>
      </c>
      <c r="D23" s="298"/>
      <c r="E23" s="298"/>
      <c r="F23" s="298"/>
      <c r="G23" s="298"/>
      <c r="H23" s="298"/>
      <c r="I23" s="298"/>
      <c r="J23" s="298"/>
      <c r="K23" s="298"/>
      <c r="L23" s="298"/>
      <c r="M23" s="298"/>
      <c r="N23" s="298"/>
      <c r="O23" s="298"/>
      <c r="P23" s="298"/>
      <c r="Q23" s="298"/>
      <c r="R23" s="364"/>
      <c r="S23" s="333"/>
      <c r="W23" s="344"/>
    </row>
    <row r="24" spans="1:55" ht="18" customHeight="1">
      <c r="A24" s="314"/>
      <c r="B24" s="311"/>
      <c r="C24" s="365"/>
      <c r="F24" s="959" t="str">
        <f>O18</f>
        <v/>
      </c>
      <c r="G24" s="960"/>
      <c r="H24" s="287" t="s">
        <v>462</v>
      </c>
      <c r="I24" s="959" t="str">
        <f>O21</f>
        <v/>
      </c>
      <c r="J24" s="960"/>
      <c r="K24" s="287" t="s">
        <v>462</v>
      </c>
      <c r="L24" s="1327" t="str">
        <f>IF(ISBLANK('Mound &lt;1%'!H12),"",P14)</f>
        <v/>
      </c>
      <c r="M24" s="1328"/>
      <c r="N24" s="287" t="s">
        <v>465</v>
      </c>
      <c r="O24" s="959" t="str">
        <f>IF(ISBLANK('Mound &lt;1%'!H12),"",O18+O21+P14)</f>
        <v/>
      </c>
      <c r="P24" s="960"/>
      <c r="Q24" s="285" t="s">
        <v>33</v>
      </c>
      <c r="R24" s="362"/>
      <c r="S24" s="333"/>
    </row>
    <row r="25" spans="1:55" ht="6" customHeight="1">
      <c r="A25" s="314"/>
      <c r="B25" s="311"/>
      <c r="C25" s="361"/>
      <c r="D25" s="357"/>
      <c r="E25" s="357"/>
      <c r="F25" s="360"/>
      <c r="G25" s="356"/>
      <c r="H25" s="357"/>
      <c r="I25" s="360"/>
      <c r="J25" s="357"/>
      <c r="K25" s="357"/>
      <c r="L25" s="360"/>
      <c r="M25" s="357"/>
      <c r="N25" s="357"/>
      <c r="O25" s="359"/>
      <c r="P25" s="357"/>
      <c r="Q25" s="357"/>
      <c r="R25" s="358"/>
      <c r="S25" s="333"/>
      <c r="W25" s="344"/>
    </row>
    <row r="26" spans="1:55" ht="15" customHeight="1">
      <c r="A26" s="314"/>
      <c r="B26" s="311"/>
      <c r="C26" s="392" t="s">
        <v>710</v>
      </c>
      <c r="D26" s="395"/>
      <c r="E26" s="395"/>
      <c r="F26" s="396"/>
      <c r="G26" s="395"/>
      <c r="H26" s="395"/>
      <c r="I26" s="396"/>
      <c r="J26" s="395"/>
      <c r="K26" s="395"/>
      <c r="L26" s="396"/>
      <c r="M26" s="395"/>
      <c r="N26" s="395"/>
      <c r="O26" s="397"/>
      <c r="P26" s="395"/>
      <c r="Q26" s="395"/>
      <c r="R26" s="394"/>
      <c r="S26" s="333"/>
      <c r="W26" s="344"/>
    </row>
    <row r="27" spans="1:55" ht="15" customHeight="1">
      <c r="A27" s="314"/>
      <c r="B27" s="311"/>
      <c r="C27" s="368" t="s">
        <v>704</v>
      </c>
      <c r="D27" s="366"/>
      <c r="E27" s="366"/>
      <c r="F27" s="366"/>
      <c r="G27" s="366"/>
      <c r="H27" s="366"/>
      <c r="I27" s="366"/>
      <c r="J27" s="366"/>
      <c r="K27" s="366"/>
      <c r="L27" s="366"/>
      <c r="M27" s="366"/>
      <c r="N27" s="366"/>
      <c r="O27" s="366"/>
      <c r="P27" s="366"/>
      <c r="Q27" s="366"/>
      <c r="R27" s="367"/>
      <c r="S27" s="333"/>
      <c r="W27" s="344"/>
    </row>
    <row r="28" spans="1:55" ht="19.899999999999999" customHeight="1">
      <c r="A28" s="314"/>
      <c r="B28" s="311"/>
      <c r="C28" s="365"/>
      <c r="D28" s="298"/>
      <c r="E28" s="315" t="s">
        <v>41</v>
      </c>
      <c r="F28" s="959" t="str">
        <f>IF(ISBLANK('Mound &gt;1%'!H12),"",'Mound &gt;1%'!K68)</f>
        <v/>
      </c>
      <c r="G28" s="960"/>
      <c r="H28" s="305" t="s">
        <v>74</v>
      </c>
      <c r="I28" s="287" t="s">
        <v>106</v>
      </c>
      <c r="J28" s="1340" t="s">
        <v>628</v>
      </c>
      <c r="K28" s="1341"/>
      <c r="L28" s="1342"/>
      <c r="M28" s="959" t="str">
        <f>IF(ISBLANK('Mound &gt;1%'!J33),"",'Mound &gt;1%'!J33)</f>
        <v/>
      </c>
      <c r="N28" s="960"/>
      <c r="O28" s="292" t="s">
        <v>461</v>
      </c>
      <c r="P28" s="959" t="str">
        <f>IF(ISBLANK('Mound &gt;1%'!H12),"",((F28-1)*3*M28)/2)</f>
        <v/>
      </c>
      <c r="Q28" s="960"/>
      <c r="R28" s="364" t="s">
        <v>33</v>
      </c>
      <c r="S28" s="333"/>
      <c r="W28" s="291"/>
      <c r="X28" s="291"/>
      <c r="Y28" s="287"/>
      <c r="Z28" s="291"/>
      <c r="AA28" s="291"/>
      <c r="AB28" s="287"/>
      <c r="AC28" s="291"/>
      <c r="AD28" s="291"/>
      <c r="AE28" s="287"/>
      <c r="AF28" s="291"/>
      <c r="AG28" s="291"/>
      <c r="AH28" s="287"/>
      <c r="AI28" s="291"/>
      <c r="AJ28" s="291"/>
      <c r="AK28" s="287"/>
      <c r="AL28" s="291"/>
      <c r="AM28" s="291"/>
      <c r="AN28" s="287"/>
      <c r="BC28" s="298"/>
    </row>
    <row r="29" spans="1:55" ht="6" customHeight="1">
      <c r="A29" s="314"/>
      <c r="B29" s="311"/>
      <c r="C29" s="365"/>
      <c r="D29" s="298"/>
      <c r="E29" s="298"/>
      <c r="F29" s="298"/>
      <c r="G29" s="298"/>
      <c r="H29" s="298"/>
      <c r="I29" s="298"/>
      <c r="J29" s="298"/>
      <c r="K29" s="298"/>
      <c r="L29" s="298"/>
      <c r="M29" s="298"/>
      <c r="N29" s="298"/>
      <c r="O29" s="298"/>
      <c r="P29" s="298"/>
      <c r="Q29" s="298"/>
      <c r="R29" s="364"/>
      <c r="S29" s="333"/>
      <c r="U29" s="291"/>
      <c r="V29" s="287"/>
    </row>
    <row r="30" spans="1:55" ht="15" customHeight="1">
      <c r="A30" s="314"/>
      <c r="B30" s="311"/>
      <c r="C30" s="363" t="s">
        <v>703</v>
      </c>
      <c r="D30" s="298"/>
      <c r="E30" s="298"/>
      <c r="F30" s="298"/>
      <c r="G30" s="298"/>
      <c r="H30" s="298"/>
      <c r="I30" s="298"/>
      <c r="J30" s="298"/>
      <c r="K30" s="298"/>
      <c r="L30" s="298"/>
      <c r="M30" s="298"/>
      <c r="N30" s="298"/>
      <c r="O30" s="298"/>
      <c r="P30" s="298"/>
      <c r="Q30" s="298"/>
      <c r="R30" s="364"/>
      <c r="S30" s="333"/>
    </row>
    <row r="31" spans="1:55" ht="19.899999999999999" customHeight="1">
      <c r="A31" s="314"/>
      <c r="B31" s="311"/>
      <c r="C31" s="365"/>
      <c r="D31" s="298"/>
      <c r="E31" s="315" t="s">
        <v>41</v>
      </c>
      <c r="F31" s="959" t="str">
        <f>IF(ISBLANK('Mound &gt;1%'!H12),"",'Mound &gt;1%'!N79)</f>
        <v/>
      </c>
      <c r="G31" s="960"/>
      <c r="H31" s="305" t="s">
        <v>75</v>
      </c>
      <c r="I31" s="287" t="s">
        <v>106</v>
      </c>
      <c r="J31" s="1326" t="str">
        <f>IF(ISBLANK('Mound &gt;1%'!H12),"",'Mound &gt;1%'!N42)</f>
        <v/>
      </c>
      <c r="K31" s="960"/>
      <c r="L31" s="285" t="s">
        <v>127</v>
      </c>
      <c r="M31" s="959" t="str">
        <f>IF(ISBLANK('Mound &gt;1%'!J33),"",'Mound &gt;1%'!J33)</f>
        <v/>
      </c>
      <c r="N31" s="960"/>
      <c r="O31" s="292" t="s">
        <v>461</v>
      </c>
      <c r="P31" s="959" t="str">
        <f>IF(ISBLANK('Mound &gt;1%'!H12),"",((F31-1)*(J31)*M31)/2)</f>
        <v/>
      </c>
      <c r="Q31" s="960"/>
      <c r="R31" s="364" t="s">
        <v>33</v>
      </c>
      <c r="S31" s="333"/>
    </row>
    <row r="32" spans="1:55" ht="6" customHeight="1">
      <c r="A32" s="314"/>
      <c r="B32" s="311"/>
      <c r="C32" s="316"/>
      <c r="D32" s="285"/>
      <c r="E32" s="285"/>
      <c r="F32" s="285"/>
      <c r="G32" s="285"/>
      <c r="H32" s="298"/>
      <c r="I32" s="298"/>
      <c r="J32" s="298"/>
      <c r="K32" s="298"/>
      <c r="L32" s="298"/>
      <c r="M32" s="298"/>
      <c r="N32" s="298"/>
      <c r="O32" s="298"/>
      <c r="P32" s="286"/>
      <c r="Q32" s="287"/>
      <c r="R32" s="364"/>
      <c r="S32" s="333"/>
    </row>
    <row r="33" spans="1:51" ht="15" customHeight="1">
      <c r="A33" s="314"/>
      <c r="B33" s="311"/>
      <c r="C33" s="363" t="s">
        <v>42</v>
      </c>
      <c r="D33" s="298"/>
      <c r="E33" s="298"/>
      <c r="F33" s="298"/>
      <c r="G33" s="298"/>
      <c r="H33" s="298"/>
      <c r="I33" s="298"/>
      <c r="J33" s="298"/>
      <c r="K33" s="298"/>
      <c r="L33" s="298"/>
      <c r="M33" s="298"/>
      <c r="N33" s="298"/>
      <c r="O33" s="298"/>
      <c r="P33" s="298"/>
      <c r="Q33" s="298"/>
      <c r="R33" s="364"/>
      <c r="S33" s="333"/>
      <c r="W33" s="279"/>
    </row>
    <row r="34" spans="1:51" ht="19.899999999999999" customHeight="1">
      <c r="A34" s="314"/>
      <c r="B34" s="311"/>
      <c r="C34" s="365"/>
      <c r="D34" s="298"/>
      <c r="E34" s="315" t="s">
        <v>314</v>
      </c>
      <c r="F34" s="959" t="str">
        <f>IF(ISBLANK('Mound &gt;1%'!H12),"",'Mound &gt;1%'!N79)</f>
        <v/>
      </c>
      <c r="G34" s="960"/>
      <c r="H34" s="305" t="s">
        <v>76</v>
      </c>
      <c r="I34" s="287" t="s">
        <v>106</v>
      </c>
      <c r="J34" s="1335" t="s">
        <v>629</v>
      </c>
      <c r="K34" s="1336"/>
      <c r="L34" s="1337"/>
      <c r="M34" s="959" t="str">
        <f>IF(ISBLANK('Mound &gt;1%'!H29),"",'Mound &gt;1%'!H29)</f>
        <v/>
      </c>
      <c r="N34" s="960"/>
      <c r="O34" s="326" t="s">
        <v>125</v>
      </c>
      <c r="P34" s="959" t="str">
        <f>IF(ISBLANK('Mound &gt;1%'!H12),"",((F34-1)*3*M34))</f>
        <v/>
      </c>
      <c r="Q34" s="960"/>
      <c r="R34" s="364" t="s">
        <v>33</v>
      </c>
      <c r="S34" s="333"/>
      <c r="W34" s="279"/>
      <c r="X34" s="344"/>
    </row>
    <row r="35" spans="1:51" ht="6" customHeight="1">
      <c r="A35" s="314"/>
      <c r="B35" s="311"/>
      <c r="C35" s="365"/>
      <c r="D35" s="298"/>
      <c r="E35" s="298"/>
      <c r="F35" s="298"/>
      <c r="G35" s="298"/>
      <c r="H35" s="298"/>
      <c r="I35" s="298"/>
      <c r="J35" s="298"/>
      <c r="K35" s="298"/>
      <c r="L35" s="298"/>
      <c r="M35" s="298"/>
      <c r="N35" s="298"/>
      <c r="O35" s="298"/>
      <c r="P35" s="298"/>
      <c r="Q35" s="298"/>
      <c r="R35" s="364"/>
      <c r="S35" s="333"/>
      <c r="W35" s="279"/>
      <c r="Y35" s="287"/>
      <c r="Z35" s="287"/>
      <c r="AA35" s="287"/>
      <c r="AB35" s="287"/>
      <c r="AC35" s="286"/>
      <c r="AD35" s="286"/>
      <c r="AE35" s="287"/>
      <c r="AF35" s="288"/>
      <c r="AG35" s="287"/>
      <c r="AH35" s="286"/>
      <c r="AI35" s="286"/>
      <c r="AJ35" s="287"/>
    </row>
    <row r="36" spans="1:51" ht="15" customHeight="1">
      <c r="A36" s="314"/>
      <c r="B36" s="311"/>
      <c r="C36" s="363" t="s">
        <v>43</v>
      </c>
      <c r="D36" s="298"/>
      <c r="E36" s="298"/>
      <c r="F36" s="298"/>
      <c r="G36" s="298"/>
      <c r="H36" s="298"/>
      <c r="I36" s="298"/>
      <c r="J36" s="298"/>
      <c r="K36" s="298"/>
      <c r="L36" s="298"/>
      <c r="M36" s="298"/>
      <c r="N36" s="298"/>
      <c r="O36" s="298"/>
      <c r="P36" s="298"/>
      <c r="Q36" s="298"/>
      <c r="R36" s="364"/>
      <c r="S36" s="333"/>
      <c r="W36" s="279"/>
      <c r="X36" s="287"/>
      <c r="Y36" s="287"/>
      <c r="Z36" s="287"/>
      <c r="AA36" s="287"/>
      <c r="AB36" s="287"/>
      <c r="AK36" s="286"/>
      <c r="AL36" s="287"/>
    </row>
    <row r="37" spans="1:51" ht="19.899999999999999" customHeight="1">
      <c r="A37" s="314"/>
      <c r="B37" s="311"/>
      <c r="C37" s="365"/>
      <c r="D37" s="959" t="str">
        <f>IF('Design Summary'!Y40=0,"",IF('Design Summary'!Y40=1,"",IF('Design Summary'!Y40=2,"",IF('Design Summary'!Y40=3,"",IF('Design Summary'!Y40=5,"",IF('Design Summary'!Y40=4,P28))))))</f>
        <v/>
      </c>
      <c r="E37" s="960"/>
      <c r="F37" s="287" t="s">
        <v>462</v>
      </c>
      <c r="G37" s="959" t="str">
        <f>IF('Design Summary'!Y40=0,"",IF('Design Summary'!Y40=1,"",IF('Design Summary'!Y40=2,"",IF('Design Summary'!Y40=3,"",IF('Design Summary'!Y40=5,"",IF('Design Summary'!Y40=4,P31))))))</f>
        <v/>
      </c>
      <c r="H37" s="960"/>
      <c r="I37" s="287" t="s">
        <v>462</v>
      </c>
      <c r="J37" s="959" t="str">
        <f>IF('Design Summary'!Y40=0,"",IF('Design Summary'!Y40=1,"",IF('Design Summary'!Y40=2,"",IF('Design Summary'!Y40=3,"",IF('Design Summary'!Y40=5,"",IF('Design Summary'!Y40=4,P34))))))</f>
        <v/>
      </c>
      <c r="K37" s="960"/>
      <c r="L37" s="287" t="s">
        <v>462</v>
      </c>
      <c r="M37" s="959" t="str">
        <f>IF(ISBLANK('Mound &gt;1%'!H12),"",P14)</f>
        <v/>
      </c>
      <c r="N37" s="960"/>
      <c r="O37" s="326" t="s">
        <v>463</v>
      </c>
      <c r="P37" s="959" t="str">
        <f>IF(ISBLANK('Mound &gt;1%'!H12),"",(D37+G37+J37+M37))</f>
        <v/>
      </c>
      <c r="Q37" s="960"/>
      <c r="R37" s="364" t="s">
        <v>33</v>
      </c>
      <c r="S37" s="333"/>
    </row>
    <row r="38" spans="1:51" ht="6" customHeight="1">
      <c r="A38" s="314"/>
      <c r="B38" s="311"/>
      <c r="C38" s="361"/>
      <c r="D38" s="369"/>
      <c r="E38" s="369"/>
      <c r="F38" s="369"/>
      <c r="G38" s="369"/>
      <c r="H38" s="369"/>
      <c r="I38" s="369"/>
      <c r="J38" s="369"/>
      <c r="K38" s="369"/>
      <c r="L38" s="369"/>
      <c r="M38" s="369"/>
      <c r="N38" s="369"/>
      <c r="O38" s="369"/>
      <c r="P38" s="369"/>
      <c r="Q38" s="369"/>
      <c r="R38" s="358"/>
      <c r="S38" s="333"/>
    </row>
    <row r="39" spans="1:51" ht="6" customHeight="1">
      <c r="A39" s="314"/>
      <c r="B39" s="311"/>
      <c r="C39" s="298"/>
      <c r="D39" s="298"/>
      <c r="E39" s="298"/>
      <c r="F39" s="298"/>
      <c r="G39" s="298"/>
      <c r="H39" s="298"/>
      <c r="I39" s="298"/>
      <c r="J39" s="298"/>
      <c r="K39" s="298"/>
      <c r="L39" s="298"/>
      <c r="M39" s="298"/>
      <c r="N39" s="298"/>
      <c r="O39" s="298"/>
      <c r="P39" s="298"/>
      <c r="Q39" s="298"/>
      <c r="R39" s="285"/>
      <c r="S39" s="333"/>
    </row>
    <row r="40" spans="1:51" ht="18" customHeight="1">
      <c r="A40" s="314"/>
      <c r="B40" s="311"/>
      <c r="C40" s="285" t="s">
        <v>70</v>
      </c>
      <c r="D40" s="298"/>
      <c r="E40" s="298"/>
      <c r="F40" s="298"/>
      <c r="G40" s="298"/>
      <c r="H40" s="298"/>
      <c r="I40" s="298"/>
      <c r="J40" s="298"/>
      <c r="K40" s="959" t="str">
        <f>IF('Design Summary'!Y40=4,MAX(O24,P37)," ")</f>
        <v xml:space="preserve"> </v>
      </c>
      <c r="L40" s="960"/>
      <c r="M40" s="287" t="s">
        <v>86</v>
      </c>
      <c r="N40" s="335">
        <v>27</v>
      </c>
      <c r="O40" s="287" t="s">
        <v>107</v>
      </c>
      <c r="P40" s="959" t="str">
        <f>IF('Design Summary'!Y40=4,K40/27," ")</f>
        <v xml:space="preserve"> </v>
      </c>
      <c r="Q40" s="960"/>
      <c r="R40" s="285" t="s">
        <v>34</v>
      </c>
      <c r="S40" s="333"/>
      <c r="AU40" s="281"/>
      <c r="AX40" s="281"/>
      <c r="AY40" s="281"/>
    </row>
    <row r="41" spans="1:51" ht="6" customHeight="1">
      <c r="A41" s="314"/>
      <c r="B41" s="311"/>
      <c r="C41" s="298"/>
      <c r="D41" s="298"/>
      <c r="E41" s="298"/>
      <c r="F41" s="298"/>
      <c r="G41" s="298"/>
      <c r="H41" s="298"/>
      <c r="I41" s="298"/>
      <c r="J41" s="298"/>
      <c r="K41" s="298"/>
      <c r="L41" s="298"/>
      <c r="M41" s="298"/>
      <c r="N41" s="298"/>
      <c r="O41" s="298"/>
      <c r="P41" s="298"/>
      <c r="Q41" s="298"/>
      <c r="R41" s="285"/>
      <c r="S41" s="333"/>
      <c r="AU41" s="281"/>
      <c r="AX41" s="281"/>
      <c r="AY41" s="281"/>
    </row>
    <row r="42" spans="1:51" ht="18" customHeight="1">
      <c r="A42" s="314"/>
      <c r="B42" s="311"/>
      <c r="C42" s="298" t="s">
        <v>597</v>
      </c>
      <c r="D42" s="298"/>
      <c r="E42" s="298"/>
      <c r="F42" s="298"/>
      <c r="G42" s="298"/>
      <c r="H42" s="298"/>
      <c r="I42" s="298"/>
      <c r="J42" s="298"/>
      <c r="K42" s="959" t="str">
        <f>IF(P40&gt;1,P40," ")</f>
        <v xml:space="preserve"> </v>
      </c>
      <c r="L42" s="960"/>
      <c r="M42" s="287" t="s">
        <v>460</v>
      </c>
      <c r="N42" s="293">
        <v>1.2</v>
      </c>
      <c r="O42" s="287" t="s">
        <v>107</v>
      </c>
      <c r="P42" s="959" t="str">
        <f>IF('Design Summary'!Y40=4,K42*1.2," ")</f>
        <v xml:space="preserve"> </v>
      </c>
      <c r="Q42" s="960"/>
      <c r="R42" s="285" t="s">
        <v>34</v>
      </c>
      <c r="S42" s="333"/>
      <c r="W42" s="859"/>
      <c r="AU42" s="281"/>
      <c r="AV42" s="281"/>
      <c r="AW42" s="281"/>
      <c r="AX42" s="281"/>
      <c r="AY42" s="281"/>
    </row>
    <row r="43" spans="1:51" ht="6" customHeight="1" thickBot="1">
      <c r="A43" s="313"/>
      <c r="B43" s="331"/>
      <c r="C43" s="330"/>
      <c r="D43" s="330"/>
      <c r="E43" s="330"/>
      <c r="F43" s="330"/>
      <c r="G43" s="330"/>
      <c r="H43" s="330"/>
      <c r="I43" s="330"/>
      <c r="J43" s="330"/>
      <c r="K43" s="375"/>
      <c r="L43" s="375"/>
      <c r="M43" s="284"/>
      <c r="N43" s="376"/>
      <c r="O43" s="284"/>
      <c r="P43" s="375"/>
      <c r="Q43" s="375"/>
      <c r="R43" s="283"/>
      <c r="S43" s="328"/>
      <c r="AU43" s="281"/>
      <c r="AV43" s="281"/>
      <c r="AW43" s="281"/>
      <c r="AX43" s="281"/>
      <c r="AY43" s="281"/>
    </row>
    <row r="44" spans="1:51" ht="15" customHeight="1">
      <c r="A44" s="370"/>
      <c r="B44" s="371" t="s">
        <v>156</v>
      </c>
      <c r="C44" s="372" t="s">
        <v>45</v>
      </c>
      <c r="D44" s="372"/>
      <c r="E44" s="372"/>
      <c r="F44" s="372"/>
      <c r="G44" s="372"/>
      <c r="J44" s="427"/>
      <c r="K44" s="372"/>
      <c r="L44" s="372"/>
      <c r="M44" s="372"/>
      <c r="N44" s="372"/>
      <c r="O44" s="372"/>
      <c r="P44" s="372"/>
      <c r="Q44" s="372"/>
      <c r="R44" s="373"/>
      <c r="S44" s="374"/>
      <c r="V44" s="941">
        <f>IF(ISBLANK('Mound &gt;1%'!H12),0,AVERAGE('Mound &gt;1%'!K68,'Mound &gt;1%'!N79))</f>
        <v>0</v>
      </c>
      <c r="W44" s="786">
        <f>IF(ISBLANK('Mound &lt;1%'!H12),0,AVERAGE('Mound &lt;1%'!L78,'Mound &lt;1%'!L78))</f>
        <v>0</v>
      </c>
      <c r="AU44" s="281"/>
      <c r="AV44" s="281"/>
      <c r="AW44" s="281"/>
      <c r="AX44" s="281"/>
      <c r="AY44" s="281"/>
    </row>
    <row r="45" spans="1:51" ht="15" customHeight="1">
      <c r="A45" s="334"/>
      <c r="B45" s="311"/>
      <c r="C45" s="336" t="s">
        <v>812</v>
      </c>
      <c r="D45" s="298"/>
      <c r="E45" s="298"/>
      <c r="F45" s="298"/>
      <c r="G45" s="298"/>
      <c r="H45" s="298"/>
      <c r="I45" s="298"/>
      <c r="J45" s="298"/>
      <c r="K45" s="298"/>
      <c r="L45" s="298"/>
      <c r="M45" s="298"/>
      <c r="N45" s="298"/>
      <c r="O45" s="298"/>
      <c r="P45" s="298"/>
      <c r="Q45" s="298"/>
      <c r="R45" s="285"/>
      <c r="S45" s="333"/>
      <c r="AU45" s="281"/>
      <c r="AV45" s="281"/>
      <c r="AW45" s="281"/>
      <c r="AX45" s="281"/>
      <c r="AY45" s="281"/>
    </row>
    <row r="46" spans="1:51" ht="19.899999999999999" customHeight="1">
      <c r="A46" s="334"/>
      <c r="B46" s="311"/>
      <c r="C46" s="315" t="s">
        <v>314</v>
      </c>
      <c r="D46" s="959" t="str">
        <f>IF('Design Summary'!Y40=0,"",IF('Design Summary'!Y40=1,"",IF('Design Summary'!Y40=2,"",IF('Design Summary'!Y40=3,"",IF('Design Summary'!Y40=5,"",IF('Design Summary'!Y40=4,MAX(V44,W44)))))))</f>
        <v/>
      </c>
      <c r="E46" s="960"/>
      <c r="F46" s="343" t="s">
        <v>150</v>
      </c>
      <c r="G46" s="1334">
        <v>0.5</v>
      </c>
      <c r="H46" s="1334"/>
      <c r="I46" s="285" t="s">
        <v>309</v>
      </c>
      <c r="J46" s="959" t="str">
        <f>IF('Design Summary'!Y40=0,"",IF('Design Summary'!Y40=1,"",IF('Design Summary'!Y40=2,"",IF('Design Summary'!Y40=3,"",IF('Design Summary'!Y40=5,"",IF('Design Summary'!Y40=4,MAX('Mound &gt;1%'!P96,'Mound &lt;1%'!L93)))))))</f>
        <v/>
      </c>
      <c r="K46" s="960"/>
      <c r="L46" s="285" t="s">
        <v>127</v>
      </c>
      <c r="M46" s="959" t="str">
        <f>IF('Design Summary'!Y40=0,"",IF('Design Summary'!Y40=1,"",IF('Design Summary'!Y40=2,"",IF('Design Summary'!Y40=3,"",IF('Design Summary'!Y40=5,"",IF('Design Summary'!Y40=4,MAX('Mound &lt;1%'!L96,'Mound &gt;1%'!P98)))))))</f>
        <v/>
      </c>
      <c r="N46" s="960"/>
      <c r="O46" s="292" t="s">
        <v>461</v>
      </c>
      <c r="P46" s="959" t="str">
        <f>IF('Design Summary'!Y40=0,"",IF('Design Summary'!Y40=1,"",IF('Design Summary'!Y40=2,"",IF('Design Summary'!Y40=3,"",IF('Design Summary'!Y40=5,"",IF('Design Summary'!Y40=4,((D46-G46)*J46*M46)/2))))))</f>
        <v/>
      </c>
      <c r="Q46" s="960"/>
      <c r="R46" s="285" t="s">
        <v>33</v>
      </c>
      <c r="S46" s="333"/>
      <c r="W46" s="289"/>
      <c r="X46" s="289"/>
      <c r="Y46" s="298"/>
      <c r="Z46" s="298"/>
      <c r="AA46" s="298"/>
      <c r="AB46" s="298"/>
      <c r="AC46" s="298"/>
      <c r="AD46" s="298"/>
      <c r="AE46" s="298"/>
      <c r="AF46" s="298"/>
      <c r="AG46" s="298"/>
      <c r="AH46" s="298"/>
      <c r="AI46" s="298"/>
      <c r="AJ46" s="298"/>
      <c r="AK46" s="298"/>
      <c r="AL46" s="298"/>
      <c r="AM46" s="298"/>
      <c r="AN46" s="298"/>
      <c r="AO46" s="298"/>
      <c r="AU46" s="281"/>
      <c r="AV46" s="281"/>
      <c r="AW46" s="281"/>
      <c r="AX46" s="282"/>
      <c r="AY46" s="281"/>
    </row>
    <row r="47" spans="1:51" ht="6" customHeight="1">
      <c r="A47" s="334"/>
      <c r="B47" s="311"/>
      <c r="C47" s="298"/>
      <c r="F47" s="298"/>
      <c r="G47" s="298"/>
      <c r="H47" s="298"/>
      <c r="I47" s="298"/>
      <c r="J47" s="298"/>
      <c r="K47" s="298"/>
      <c r="L47" s="298"/>
      <c r="M47" s="298"/>
      <c r="N47" s="298"/>
      <c r="O47" s="298"/>
      <c r="P47" s="298"/>
      <c r="Q47" s="298"/>
      <c r="R47" s="285"/>
      <c r="S47" s="333"/>
      <c r="W47" s="289"/>
      <c r="X47" s="342"/>
      <c r="Y47" s="298"/>
      <c r="Z47" s="298"/>
      <c r="AA47" s="298"/>
      <c r="AB47" s="298"/>
      <c r="AC47" s="298"/>
      <c r="AD47" s="298"/>
      <c r="AE47" s="298"/>
      <c r="AF47" s="298"/>
      <c r="AG47" s="298"/>
      <c r="AH47" s="298"/>
      <c r="AI47" s="298"/>
      <c r="AJ47" s="298"/>
      <c r="AK47" s="298"/>
      <c r="AL47" s="298"/>
      <c r="AM47" s="298"/>
      <c r="AN47" s="298"/>
      <c r="AO47" s="298"/>
      <c r="AU47" s="281"/>
      <c r="AV47" s="281"/>
      <c r="AW47" s="281"/>
      <c r="AX47" s="281"/>
      <c r="AY47" s="281"/>
    </row>
    <row r="48" spans="1:51" ht="15" customHeight="1">
      <c r="A48" s="334"/>
      <c r="B48" s="311"/>
      <c r="C48" s="336" t="s">
        <v>47</v>
      </c>
      <c r="D48" s="298"/>
      <c r="E48" s="298"/>
      <c r="F48" s="298"/>
      <c r="G48" s="298"/>
      <c r="H48" s="298"/>
      <c r="I48" s="298"/>
      <c r="J48" s="298"/>
      <c r="K48" s="298"/>
      <c r="L48" s="298"/>
      <c r="M48" s="298"/>
      <c r="N48" s="298"/>
      <c r="O48" s="298"/>
      <c r="P48" s="298"/>
      <c r="Q48" s="298"/>
      <c r="R48" s="285"/>
      <c r="S48" s="333"/>
      <c r="W48" s="289"/>
      <c r="X48" s="286"/>
      <c r="Y48" s="286"/>
      <c r="Z48" s="287"/>
      <c r="AA48" s="286"/>
      <c r="AB48" s="286"/>
      <c r="AC48" s="287"/>
      <c r="AD48" s="286"/>
      <c r="AE48" s="286"/>
      <c r="AF48" s="287"/>
      <c r="AG48" s="286"/>
      <c r="AH48" s="286"/>
      <c r="AI48" s="287"/>
      <c r="AV48" s="281"/>
      <c r="AW48" s="281"/>
      <c r="AX48" s="281"/>
      <c r="AY48" s="281"/>
    </row>
    <row r="49" spans="1:51" ht="19.899999999999999" customHeight="1">
      <c r="A49" s="334"/>
      <c r="B49" s="311"/>
      <c r="C49" s="298"/>
      <c r="D49" s="298"/>
      <c r="E49" s="341"/>
      <c r="G49" s="959" t="str">
        <f>IF('Design Summary'!Y40=0,"",IF('Design Summary'!Y40=1,"",IF('Design Summary'!Y40=2,"",IF('Design Summary'!Y40=3,"",IF('Design Summary'!Y40=5,"",IF('Design Summary'!Y40=4,P46))))))</f>
        <v/>
      </c>
      <c r="H49" s="960"/>
      <c r="I49" s="287" t="s">
        <v>464</v>
      </c>
      <c r="J49" s="959" t="str">
        <f>IF('Design Summary'!Y40=0,"",IF('Design Summary'!Y40=1,"",IF('Design Summary'!Y40=2,"",IF('Design Summary'!Y40=3,"",IF('Design Summary'!Y40=5,"",IF('Design Summary'!Y40=4,MAX(O24,P37)))))))</f>
        <v/>
      </c>
      <c r="K49" s="960"/>
      <c r="L49" s="287" t="s">
        <v>464</v>
      </c>
      <c r="M49" s="959" t="str">
        <f>IF('Design Summary'!Y40=0,"",IF('Design Summary'!Y40=1,"",IF('Design Summary'!Y40=2,"",IF('Design Summary'!Y40=3,"",IF('Design Summary'!Y40=5,"",IF('Design Summary'!Y40=4,P4))))))</f>
        <v/>
      </c>
      <c r="N49" s="960"/>
      <c r="O49" s="287" t="s">
        <v>465</v>
      </c>
      <c r="P49" s="959" t="str">
        <f>IF('Design Summary'!Y40=0,"",IF('Design Summary'!Y40=1,"",IF('Design Summary'!Y40=2,"",IF('Design Summary'!Y40=3,"",IF('Design Summary'!Y40=5,"",IF('Design Summary'!Y40=4,G49-J49-M49))))))</f>
        <v/>
      </c>
      <c r="Q49" s="960"/>
      <c r="R49" s="285" t="s">
        <v>33</v>
      </c>
      <c r="S49" s="333"/>
      <c r="W49" s="289"/>
      <c r="X49" s="286"/>
      <c r="Y49" s="286"/>
      <c r="Z49" s="287"/>
      <c r="AA49" s="286"/>
      <c r="AB49" s="286"/>
      <c r="AC49" s="287"/>
      <c r="AD49" s="286"/>
      <c r="AE49" s="286"/>
      <c r="AF49" s="287"/>
      <c r="AG49" s="286"/>
      <c r="AH49" s="286"/>
      <c r="AI49" s="287"/>
      <c r="AV49" s="281"/>
      <c r="AW49" s="281"/>
      <c r="AX49" s="282"/>
      <c r="AY49" s="281"/>
    </row>
    <row r="50" spans="1:51" ht="6" customHeight="1">
      <c r="A50" s="337"/>
      <c r="B50" s="311"/>
      <c r="C50" s="285"/>
      <c r="D50" s="285"/>
      <c r="E50" s="285"/>
      <c r="F50" s="285"/>
      <c r="G50" s="285"/>
      <c r="H50" s="298"/>
      <c r="I50" s="298"/>
      <c r="J50" s="298"/>
      <c r="K50" s="298"/>
      <c r="L50" s="298"/>
      <c r="M50" s="298"/>
      <c r="N50" s="298"/>
      <c r="O50" s="298"/>
      <c r="P50" s="286"/>
      <c r="Q50" s="287"/>
      <c r="R50" s="285"/>
      <c r="S50" s="333"/>
      <c r="W50" s="289"/>
      <c r="X50" s="298"/>
      <c r="Y50" s="298"/>
      <c r="Z50" s="298"/>
      <c r="AA50" s="298"/>
      <c r="AB50" s="298"/>
      <c r="AC50" s="298"/>
      <c r="AD50" s="298"/>
      <c r="AE50" s="298"/>
      <c r="AF50" s="298"/>
      <c r="AG50" s="298"/>
      <c r="AH50" s="298"/>
      <c r="AI50" s="298"/>
      <c r="AJ50" s="298"/>
      <c r="AK50" s="298"/>
      <c r="AL50" s="298"/>
      <c r="AM50" s="298"/>
      <c r="AN50" s="298"/>
      <c r="AO50" s="298"/>
      <c r="AV50" s="281"/>
      <c r="AW50" s="281"/>
      <c r="AX50" s="281"/>
      <c r="AY50" s="281"/>
    </row>
    <row r="51" spans="1:51" ht="19.899999999999999" customHeight="1">
      <c r="A51" s="334"/>
      <c r="B51" s="311"/>
      <c r="C51" s="285" t="s">
        <v>70</v>
      </c>
      <c r="D51" s="298"/>
      <c r="E51" s="298"/>
      <c r="F51" s="298"/>
      <c r="G51" s="298"/>
      <c r="H51" s="298"/>
      <c r="I51" s="298"/>
      <c r="J51" s="298"/>
      <c r="K51" s="959" t="str">
        <f>IF('Design Summary'!Y40=0,"",IF('Design Summary'!Y40=1,"",IF('Design Summary'!Y40=2,"",IF('Design Summary'!Y40=3,"",IF('Design Summary'!Y40=5,"",IF('Design Summary'!Y40=4,P49))))))</f>
        <v/>
      </c>
      <c r="L51" s="960"/>
      <c r="M51" s="287" t="s">
        <v>86</v>
      </c>
      <c r="N51" s="335">
        <v>27</v>
      </c>
      <c r="O51" s="287" t="s">
        <v>107</v>
      </c>
      <c r="P51" s="959" t="str">
        <f>IF('Design Summary'!Y40=0,"",IF('Design Summary'!Y40=1,"",IF('Design Summary'!Y40=2,"",IF('Design Summary'!Y40=3,"",IF('Design Summary'!Y40=5,"",IF('Design Summary'!Y40=4,K51/27))))))</f>
        <v/>
      </c>
      <c r="Q51" s="960"/>
      <c r="R51" s="285" t="s">
        <v>34</v>
      </c>
      <c r="S51" s="333"/>
      <c r="AH51" s="286"/>
      <c r="AI51" s="287"/>
      <c r="AJ51" s="286"/>
      <c r="AK51" s="286"/>
      <c r="AL51" s="287"/>
      <c r="AM51" s="286"/>
      <c r="AN51" s="286"/>
      <c r="AO51" s="287"/>
      <c r="AX51" s="282"/>
      <c r="AY51" s="282"/>
    </row>
    <row r="52" spans="1:51" ht="6" customHeight="1">
      <c r="A52" s="334"/>
      <c r="B52" s="311"/>
      <c r="C52" s="298"/>
      <c r="D52" s="298"/>
      <c r="E52" s="341"/>
      <c r="F52" s="1329"/>
      <c r="G52" s="1329"/>
      <c r="H52" s="340"/>
      <c r="I52" s="291"/>
      <c r="J52" s="1331"/>
      <c r="K52" s="1331"/>
      <c r="L52" s="291"/>
      <c r="M52" s="1329"/>
      <c r="N52" s="1329"/>
      <c r="O52" s="339"/>
      <c r="P52" s="1332"/>
      <c r="Q52" s="1332"/>
      <c r="R52" s="290"/>
      <c r="S52" s="333"/>
      <c r="W52" s="327"/>
      <c r="X52" s="286"/>
      <c r="Y52" s="286"/>
      <c r="Z52" s="287"/>
      <c r="AA52" s="286"/>
      <c r="AB52" s="286"/>
      <c r="AC52" s="326"/>
      <c r="AD52" s="286"/>
      <c r="AE52" s="286"/>
      <c r="AF52" s="287"/>
      <c r="AG52" s="286"/>
      <c r="AH52" s="286"/>
      <c r="AI52" s="287"/>
      <c r="AJ52" s="286"/>
      <c r="AK52" s="286"/>
      <c r="AL52" s="287"/>
      <c r="AM52" s="286"/>
      <c r="AN52" s="286"/>
      <c r="AO52" s="287"/>
      <c r="AX52" s="281"/>
      <c r="AY52" s="281"/>
    </row>
    <row r="53" spans="1:51" ht="19.899999999999999" customHeight="1">
      <c r="A53" s="334"/>
      <c r="B53" s="311"/>
      <c r="C53" s="298" t="s">
        <v>597</v>
      </c>
      <c r="D53" s="298"/>
      <c r="E53" s="298"/>
      <c r="F53" s="298"/>
      <c r="G53" s="298"/>
      <c r="H53" s="298"/>
      <c r="I53" s="298"/>
      <c r="J53" s="298"/>
      <c r="K53" s="959" t="str">
        <f>IF('Design Summary'!Y40=0,"",IF('Design Summary'!Y40=1,"",IF('Design Summary'!Y40=2,"",IF('Design Summary'!Y40=3,"",IF('Design Summary'!Y40=5,"",IF('Design Summary'!Y40=4,P51))))))</f>
        <v/>
      </c>
      <c r="L53" s="960"/>
      <c r="M53" s="287" t="s">
        <v>87</v>
      </c>
      <c r="N53" s="293">
        <v>1.2</v>
      </c>
      <c r="O53" s="287" t="s">
        <v>107</v>
      </c>
      <c r="P53" s="959" t="str">
        <f>IF('Design Summary'!Y40=0,"",IF('Design Summary'!Y40=1,"",IF('Design Summary'!Y40=2,"",IF('Design Summary'!Y40=3,"",IF('Design Summary'!Y40=5,"",IF('Design Summary'!Y40=4,K53*1.2))))))</f>
        <v/>
      </c>
      <c r="Q53" s="960"/>
      <c r="R53" s="285" t="s">
        <v>34</v>
      </c>
      <c r="S53" s="333"/>
      <c r="W53" s="289"/>
      <c r="X53" s="298"/>
      <c r="Y53" s="298"/>
      <c r="Z53" s="298"/>
      <c r="AA53" s="298"/>
      <c r="AB53" s="298"/>
      <c r="AC53" s="298"/>
      <c r="AD53" s="298"/>
      <c r="AE53" s="298"/>
      <c r="AF53" s="298"/>
      <c r="AG53" s="298"/>
      <c r="AH53" s="298"/>
      <c r="AI53" s="298"/>
      <c r="AJ53" s="298"/>
      <c r="AK53" s="298"/>
      <c r="AL53" s="298"/>
      <c r="AM53" s="298"/>
      <c r="AN53" s="298"/>
      <c r="AO53" s="298"/>
      <c r="AX53" s="281"/>
      <c r="AY53" s="281"/>
    </row>
    <row r="54" spans="1:51" ht="6" customHeight="1" thickBot="1">
      <c r="A54" s="332"/>
      <c r="B54" s="331"/>
      <c r="C54" s="377"/>
      <c r="D54" s="330"/>
      <c r="E54" s="330"/>
      <c r="F54" s="330"/>
      <c r="G54" s="330"/>
      <c r="H54" s="330"/>
      <c r="I54" s="330"/>
      <c r="J54" s="330"/>
      <c r="K54" s="330"/>
      <c r="L54" s="330"/>
      <c r="M54" s="330"/>
      <c r="N54" s="330"/>
      <c r="O54" s="330"/>
      <c r="P54" s="330"/>
      <c r="Q54" s="330"/>
      <c r="R54" s="283"/>
      <c r="S54" s="328"/>
      <c r="Z54" s="1333"/>
      <c r="AA54" s="1330"/>
      <c r="AB54" s="338"/>
      <c r="AC54" s="1333"/>
      <c r="AD54" s="1330"/>
      <c r="AE54" s="338"/>
      <c r="AF54" s="1333"/>
      <c r="AG54" s="1330"/>
      <c r="AH54" s="338"/>
      <c r="AI54" s="1330"/>
      <c r="AJ54" s="1330"/>
      <c r="AK54" s="298"/>
      <c r="AL54" s="298"/>
      <c r="AM54" s="298"/>
      <c r="AN54" s="298"/>
      <c r="AO54" s="298"/>
      <c r="AX54" s="281"/>
      <c r="AY54" s="282"/>
    </row>
    <row r="55" spans="1:51" ht="15" customHeight="1">
      <c r="A55" s="337"/>
      <c r="B55" s="311" t="s">
        <v>476</v>
      </c>
      <c r="C55" s="298" t="s">
        <v>46</v>
      </c>
      <c r="D55" s="298"/>
      <c r="E55" s="298"/>
      <c r="F55" s="298"/>
      <c r="G55" s="298"/>
      <c r="H55" s="298"/>
      <c r="I55" s="298"/>
      <c r="J55" s="298"/>
      <c r="K55" s="298"/>
      <c r="L55" s="298"/>
      <c r="M55" s="298"/>
      <c r="N55" s="298"/>
      <c r="O55" s="298"/>
      <c r="P55" s="298"/>
      <c r="Q55" s="298"/>
      <c r="R55" s="290"/>
      <c r="S55" s="333"/>
      <c r="AK55" s="298"/>
      <c r="AL55" s="298"/>
      <c r="AM55" s="298"/>
      <c r="AN55" s="298"/>
      <c r="AO55" s="298"/>
      <c r="AX55" s="282"/>
      <c r="AY55" s="281"/>
    </row>
    <row r="56" spans="1:51" ht="6" customHeight="1">
      <c r="A56" s="337"/>
      <c r="B56" s="311"/>
      <c r="C56" s="336"/>
      <c r="D56" s="298"/>
      <c r="E56" s="298"/>
      <c r="F56" s="298"/>
      <c r="G56" s="298"/>
      <c r="H56" s="298"/>
      <c r="I56" s="298"/>
      <c r="J56" s="298"/>
      <c r="K56" s="298"/>
      <c r="L56" s="298"/>
      <c r="M56" s="298"/>
      <c r="N56" s="298"/>
      <c r="O56" s="298"/>
      <c r="P56" s="298"/>
      <c r="Q56" s="298"/>
      <c r="R56" s="285"/>
      <c r="S56" s="333"/>
      <c r="V56" s="344"/>
      <c r="AK56" s="298"/>
      <c r="AL56" s="298"/>
      <c r="AM56" s="298"/>
      <c r="AN56" s="298"/>
      <c r="AO56" s="298"/>
      <c r="AX56" s="281"/>
      <c r="AY56" s="282"/>
    </row>
    <row r="57" spans="1:51" ht="19.899999999999999" customHeight="1">
      <c r="A57" s="334"/>
      <c r="B57" s="311"/>
      <c r="C57" s="298"/>
      <c r="D57" s="298"/>
      <c r="E57" s="298"/>
      <c r="F57" s="298"/>
      <c r="G57" s="959" t="str">
        <f>IF('Design Summary'!Y40=0,"",IF('Design Summary'!Y40=1,"",IF('Design Summary'!Y40=2,"",IF('Design Summary'!Y40=3,"",IF('Design Summary'!Y40=5,"",IF('Design Summary'!Y40=4,MAX('Mound &gt;1%'!P96,'Mound &lt;1%'!L93)))))))</f>
        <v/>
      </c>
      <c r="H57" s="960"/>
      <c r="I57" s="285" t="s">
        <v>127</v>
      </c>
      <c r="J57" s="959" t="str">
        <f>IF('Design Summary'!Y40=0,"",IF('Design Summary'!Y40=1,"",IF('Design Summary'!Y40=2,"",IF('Design Summary'!Y40=3,"",IF('Design Summary'!Y40=5,"",IF('Design Summary'!Y40=4,MAX('Mound &lt;1%'!L96,'Mound &gt;1%'!P98)))))))</f>
        <v/>
      </c>
      <c r="K57" s="960"/>
      <c r="L57" s="285" t="s">
        <v>127</v>
      </c>
      <c r="M57" s="310">
        <v>0.5</v>
      </c>
      <c r="N57" s="326" t="s">
        <v>97</v>
      </c>
      <c r="O57" s="287" t="s">
        <v>107</v>
      </c>
      <c r="P57" s="959" t="str">
        <f>IF('Design Summary'!Y40=0,"",IF('Design Summary'!Y40=1,"",IF('Design Summary'!Y40=2,"",IF('Design Summary'!Y40=3,"",IF('Design Summary'!Y40=5,"",IF('Design Summary'!Y40=4,G57*J57*M57))))))</f>
        <v/>
      </c>
      <c r="Q57" s="960"/>
      <c r="R57" s="285" t="s">
        <v>33</v>
      </c>
      <c r="S57" s="333"/>
      <c r="W57" s="291"/>
      <c r="X57" s="291"/>
      <c r="Y57" s="291"/>
      <c r="Z57" s="291"/>
      <c r="AA57" s="291"/>
      <c r="AB57" s="291"/>
      <c r="AC57" s="291"/>
      <c r="AD57" s="291"/>
      <c r="AF57" s="294"/>
      <c r="AG57" s="294"/>
      <c r="AH57" s="291"/>
      <c r="AI57" s="291"/>
      <c r="AJ57" s="291"/>
      <c r="AX57" s="282"/>
      <c r="AY57" s="281"/>
    </row>
    <row r="58" spans="1:51" ht="6" customHeight="1">
      <c r="A58" s="334"/>
      <c r="B58" s="311"/>
      <c r="C58" s="298"/>
      <c r="D58" s="298"/>
      <c r="E58" s="298"/>
      <c r="F58" s="298"/>
      <c r="G58" s="286"/>
      <c r="H58" s="286"/>
      <c r="I58" s="291"/>
      <c r="J58" s="286"/>
      <c r="K58" s="286"/>
      <c r="L58" s="291"/>
      <c r="M58" s="286"/>
      <c r="N58" s="286"/>
      <c r="O58" s="291"/>
      <c r="P58" s="321"/>
      <c r="Q58" s="321"/>
      <c r="R58" s="290"/>
      <c r="S58" s="333"/>
      <c r="W58" s="291"/>
      <c r="X58" s="291"/>
      <c r="Y58" s="291"/>
      <c r="Z58" s="291"/>
      <c r="AA58" s="291"/>
      <c r="AB58" s="291"/>
      <c r="AC58" s="291"/>
      <c r="AD58" s="291"/>
      <c r="AF58" s="294"/>
      <c r="AG58" s="294"/>
      <c r="AH58" s="291"/>
      <c r="AI58" s="291"/>
      <c r="AJ58" s="291"/>
      <c r="AX58" s="282"/>
      <c r="AY58" s="281"/>
    </row>
    <row r="59" spans="1:51" ht="19.899999999999999" customHeight="1">
      <c r="A59" s="334"/>
      <c r="B59" s="311"/>
      <c r="C59" s="285" t="s">
        <v>70</v>
      </c>
      <c r="D59" s="298"/>
      <c r="E59" s="298"/>
      <c r="F59" s="298"/>
      <c r="G59" s="298"/>
      <c r="H59" s="298"/>
      <c r="I59" s="298"/>
      <c r="J59" s="298"/>
      <c r="K59" s="959" t="str">
        <f>IF('Design Summary'!Y40=0,"",IF('Design Summary'!Y40=1,"",IF('Design Summary'!Y40=2,"",IF('Design Summary'!Y40=3,"",IF('Design Summary'!Y40=5,"",IF('Design Summary'!Y40=4,P57))))))</f>
        <v/>
      </c>
      <c r="L59" s="960"/>
      <c r="M59" s="287" t="s">
        <v>86</v>
      </c>
      <c r="N59" s="335">
        <v>27</v>
      </c>
      <c r="O59" s="287" t="s">
        <v>107</v>
      </c>
      <c r="P59" s="959" t="str">
        <f>IF('Design Summary'!Y40=0,"",IF('Design Summary'!Y40=1,"",IF('Design Summary'!Y40=2,"",IF('Design Summary'!Y40=3,"",IF('Design Summary'!Y40=5,"",IF('Design Summary'!Y40=4,K59/27))))))</f>
        <v/>
      </c>
      <c r="Q59" s="960"/>
      <c r="R59" s="285" t="s">
        <v>34</v>
      </c>
      <c r="S59" s="333"/>
      <c r="W59" s="291"/>
      <c r="X59" s="291"/>
      <c r="Y59" s="291"/>
      <c r="Z59" s="291"/>
      <c r="AA59" s="291"/>
      <c r="AB59" s="291"/>
      <c r="AC59" s="291"/>
      <c r="AD59" s="291"/>
      <c r="AF59" s="294"/>
      <c r="AG59" s="294"/>
      <c r="AH59" s="291"/>
      <c r="AI59" s="291"/>
      <c r="AJ59" s="291"/>
      <c r="AX59" s="282"/>
      <c r="AY59" s="281"/>
    </row>
    <row r="60" spans="1:51" ht="6" customHeight="1">
      <c r="A60" s="334"/>
      <c r="B60" s="311"/>
      <c r="C60" s="298" t="s">
        <v>44</v>
      </c>
      <c r="D60" s="298"/>
      <c r="E60" s="298"/>
      <c r="F60" s="286"/>
      <c r="G60" s="286"/>
      <c r="H60" s="287"/>
      <c r="I60" s="286"/>
      <c r="J60" s="286"/>
      <c r="K60" s="287"/>
      <c r="L60" s="298"/>
      <c r="M60" s="298"/>
      <c r="N60" s="298"/>
      <c r="O60" s="298"/>
      <c r="P60" s="298"/>
      <c r="Q60" s="298"/>
      <c r="R60" s="290"/>
      <c r="S60" s="333"/>
      <c r="W60" s="289"/>
      <c r="X60" s="286"/>
      <c r="Y60" s="286"/>
      <c r="Z60" s="287"/>
      <c r="AA60" s="286"/>
      <c r="AB60" s="286"/>
      <c r="AC60" s="287"/>
      <c r="AD60" s="286"/>
      <c r="AE60" s="286"/>
      <c r="AF60" s="287"/>
      <c r="AG60" s="286"/>
      <c r="AH60" s="286"/>
      <c r="AI60" s="287"/>
      <c r="AX60" s="281"/>
      <c r="AY60" s="282"/>
    </row>
    <row r="61" spans="1:51" ht="19.899999999999999" customHeight="1">
      <c r="A61" s="334"/>
      <c r="B61" s="311"/>
      <c r="C61" s="298" t="s">
        <v>597</v>
      </c>
      <c r="D61" s="298"/>
      <c r="E61" s="298"/>
      <c r="F61" s="298"/>
      <c r="G61" s="298"/>
      <c r="H61" s="298"/>
      <c r="I61" s="298"/>
      <c r="J61" s="298"/>
      <c r="K61" s="959" t="str">
        <f>IF('Design Summary'!Y40=0,"",IF('Design Summary'!Y40=1,"",IF('Design Summary'!Y40=2,"",IF('Design Summary'!Y40=3,"",IF('Design Summary'!Y40=5,"",IF('Design Summary'!Y40=4,P59))))))</f>
        <v/>
      </c>
      <c r="L61" s="960"/>
      <c r="M61" s="287" t="s">
        <v>87</v>
      </c>
      <c r="N61" s="293">
        <v>1.2</v>
      </c>
      <c r="O61" s="287" t="s">
        <v>107</v>
      </c>
      <c r="P61" s="959" t="str">
        <f>IF('Design Summary'!Y40=0,"",IF('Design Summary'!Y40=1,"",IF('Design Summary'!Y40=2,"",IF('Design Summary'!Y40=3,"",IF('Design Summary'!Y40=5,"",IF('Design Summary'!Y40=4,K61*1.2))))))</f>
        <v/>
      </c>
      <c r="Q61" s="960"/>
      <c r="R61" s="285" t="s">
        <v>34</v>
      </c>
      <c r="S61" s="333"/>
      <c r="W61" s="289"/>
      <c r="X61" s="298"/>
      <c r="Y61" s="298"/>
      <c r="Z61" s="298"/>
      <c r="AA61" s="298"/>
      <c r="AB61" s="298"/>
      <c r="AC61" s="298"/>
      <c r="AD61" s="298"/>
      <c r="AE61" s="298"/>
      <c r="AF61" s="298"/>
      <c r="AG61" s="298"/>
      <c r="AH61" s="298"/>
      <c r="AI61" s="298"/>
      <c r="AJ61" s="298"/>
      <c r="AK61" s="298"/>
      <c r="AL61" s="298"/>
      <c r="AM61" s="298"/>
      <c r="AN61" s="298"/>
      <c r="AO61" s="298"/>
      <c r="AX61" s="281"/>
      <c r="AY61" s="281"/>
    </row>
    <row r="62" spans="1:51" ht="6" customHeight="1" thickBot="1">
      <c r="A62" s="332"/>
      <c r="B62" s="331"/>
      <c r="C62" s="330"/>
      <c r="D62" s="330"/>
      <c r="E62" s="330"/>
      <c r="F62" s="295"/>
      <c r="G62" s="295"/>
      <c r="H62" s="284"/>
      <c r="I62" s="295"/>
      <c r="J62" s="295"/>
      <c r="K62" s="284"/>
      <c r="L62" s="330"/>
      <c r="M62" s="330"/>
      <c r="N62" s="330"/>
      <c r="O62" s="330"/>
      <c r="P62" s="330"/>
      <c r="Q62" s="330"/>
      <c r="R62" s="329"/>
      <c r="S62" s="328"/>
      <c r="W62" s="289"/>
      <c r="X62" s="286"/>
      <c r="Y62" s="286"/>
      <c r="Z62" s="287"/>
      <c r="AA62" s="286"/>
      <c r="AB62" s="286"/>
      <c r="AC62" s="287"/>
      <c r="AD62" s="286"/>
      <c r="AE62" s="286"/>
      <c r="AF62" s="287"/>
      <c r="AG62" s="286"/>
      <c r="AH62" s="286"/>
      <c r="AI62" s="287"/>
      <c r="AX62" s="281"/>
      <c r="AY62" s="282"/>
    </row>
    <row r="63" spans="1:51" ht="6" customHeight="1">
      <c r="A63" s="277"/>
      <c r="B63" s="277"/>
      <c r="W63" s="327"/>
      <c r="X63" s="286"/>
      <c r="Y63" s="286"/>
      <c r="Z63" s="285"/>
      <c r="AA63" s="286"/>
      <c r="AB63" s="326"/>
      <c r="AC63" s="286"/>
      <c r="AD63" s="286"/>
      <c r="AE63" s="285"/>
      <c r="AF63" s="286"/>
      <c r="AG63" s="286"/>
      <c r="AH63" s="285"/>
      <c r="AI63" s="286"/>
      <c r="AJ63" s="287"/>
      <c r="AK63" s="286"/>
      <c r="AL63" s="286"/>
      <c r="AM63" s="287"/>
      <c r="AN63" s="298"/>
      <c r="AX63" s="281"/>
      <c r="AY63" s="281"/>
    </row>
    <row r="64" spans="1:51">
      <c r="AX64" s="282"/>
      <c r="AY64" s="281"/>
    </row>
    <row r="65" spans="1:51">
      <c r="A65" s="277"/>
      <c r="B65" s="277"/>
      <c r="AX65" s="281"/>
      <c r="AY65" s="281"/>
    </row>
    <row r="66" spans="1:51">
      <c r="AX66" s="282"/>
      <c r="AY66" s="281"/>
    </row>
    <row r="67" spans="1:51">
      <c r="AX67" s="281"/>
      <c r="AY67" s="282"/>
    </row>
    <row r="68" spans="1:51">
      <c r="AX68" s="282"/>
      <c r="AY68" s="281"/>
    </row>
    <row r="69" spans="1:51">
      <c r="AX69" s="281"/>
      <c r="AY69" s="281"/>
    </row>
    <row r="70" spans="1:51">
      <c r="AX70" s="282"/>
      <c r="AY70" s="281"/>
    </row>
    <row r="71" spans="1:51">
      <c r="AX71" s="281"/>
      <c r="AY71" s="282"/>
    </row>
    <row r="72" spans="1:51">
      <c r="AX72" s="282"/>
      <c r="AY72" s="281"/>
    </row>
    <row r="73" spans="1:51">
      <c r="A73" s="277"/>
      <c r="B73" s="277"/>
      <c r="R73" s="277"/>
      <c r="AX73" s="281"/>
      <c r="AY73" s="281"/>
    </row>
    <row r="74" spans="1:51">
      <c r="A74" s="277"/>
      <c r="B74" s="277"/>
      <c r="R74" s="277"/>
      <c r="AX74" s="282"/>
      <c r="AY74" s="281"/>
    </row>
    <row r="75" spans="1:51">
      <c r="A75" s="277"/>
      <c r="B75" s="277"/>
      <c r="R75" s="277"/>
      <c r="AX75" s="281"/>
      <c r="AY75" s="281"/>
    </row>
    <row r="76" spans="1:51">
      <c r="A76" s="277"/>
      <c r="B76" s="277"/>
      <c r="R76" s="277"/>
      <c r="AX76" s="282"/>
      <c r="AY76" s="282"/>
    </row>
    <row r="77" spans="1:51">
      <c r="A77" s="277"/>
      <c r="B77" s="277"/>
      <c r="R77" s="277"/>
      <c r="AX77" s="281"/>
      <c r="AY77" s="281"/>
    </row>
    <row r="78" spans="1:51">
      <c r="A78" s="277"/>
      <c r="B78" s="277"/>
      <c r="R78" s="277"/>
      <c r="AX78" s="282"/>
      <c r="AY78" s="281"/>
    </row>
    <row r="79" spans="1:51">
      <c r="A79" s="277"/>
      <c r="B79" s="277"/>
      <c r="R79" s="277"/>
      <c r="AX79" s="282"/>
      <c r="AY79" s="281"/>
    </row>
    <row r="80" spans="1:51">
      <c r="A80" s="277"/>
      <c r="B80" s="277"/>
      <c r="R80" s="277"/>
      <c r="AX80" s="281"/>
      <c r="AY80" s="281"/>
    </row>
    <row r="81" spans="1:51">
      <c r="A81" s="277"/>
      <c r="B81" s="277"/>
      <c r="R81" s="277"/>
      <c r="AX81" s="282"/>
      <c r="AY81" s="282"/>
    </row>
    <row r="82" spans="1:51">
      <c r="A82" s="277"/>
      <c r="B82" s="277"/>
      <c r="R82" s="277"/>
      <c r="AX82" s="281"/>
      <c r="AY82" s="281"/>
    </row>
    <row r="83" spans="1:51">
      <c r="A83" s="277"/>
      <c r="B83" s="277"/>
      <c r="R83" s="277"/>
      <c r="AX83" s="282"/>
      <c r="AY83" s="281"/>
    </row>
    <row r="84" spans="1:51">
      <c r="A84" s="277"/>
      <c r="B84" s="277"/>
      <c r="R84" s="277"/>
      <c r="AX84" s="281"/>
      <c r="AY84" s="281"/>
    </row>
    <row r="85" spans="1:51">
      <c r="A85" s="277"/>
      <c r="B85" s="277"/>
      <c r="R85" s="277"/>
      <c r="AX85" s="282"/>
      <c r="AY85" s="281"/>
    </row>
    <row r="86" spans="1:51">
      <c r="A86" s="277"/>
      <c r="B86" s="277"/>
      <c r="R86" s="277"/>
      <c r="AX86" s="281"/>
      <c r="AY86" s="282"/>
    </row>
    <row r="87" spans="1:51">
      <c r="A87" s="277"/>
      <c r="B87" s="277"/>
      <c r="R87" s="277"/>
      <c r="AX87" s="281"/>
      <c r="AY87" s="281"/>
    </row>
    <row r="88" spans="1:51">
      <c r="A88" s="277"/>
      <c r="B88" s="277"/>
      <c r="R88" s="277"/>
      <c r="AX88" s="282"/>
      <c r="AY88" s="281"/>
    </row>
    <row r="89" spans="1:51">
      <c r="A89" s="277"/>
      <c r="B89" s="277"/>
      <c r="R89" s="277"/>
      <c r="AX89" s="282"/>
      <c r="AY89" s="281"/>
    </row>
    <row r="90" spans="1:51">
      <c r="A90" s="277"/>
      <c r="B90" s="277"/>
      <c r="R90" s="277"/>
      <c r="AX90" s="282"/>
      <c r="AY90" s="281"/>
    </row>
    <row r="91" spans="1:51">
      <c r="A91" s="277"/>
      <c r="B91" s="277"/>
      <c r="R91" s="277"/>
      <c r="AX91" s="282"/>
      <c r="AY91" s="281"/>
    </row>
    <row r="92" spans="1:51">
      <c r="A92" s="277"/>
      <c r="B92" s="277"/>
      <c r="R92" s="277"/>
      <c r="AX92" s="282"/>
      <c r="AY92" s="281"/>
    </row>
    <row r="93" spans="1:51">
      <c r="A93" s="277"/>
      <c r="B93" s="277"/>
      <c r="R93" s="277"/>
      <c r="AX93" s="282"/>
      <c r="AY93" s="281"/>
    </row>
    <row r="94" spans="1:51">
      <c r="A94" s="277"/>
      <c r="B94" s="277"/>
      <c r="R94" s="277"/>
      <c r="AX94" s="281"/>
      <c r="AY94" s="281"/>
    </row>
    <row r="95" spans="1:51">
      <c r="A95" s="277"/>
      <c r="B95" s="277"/>
      <c r="R95" s="277"/>
      <c r="AX95" s="281"/>
      <c r="AY95" s="281"/>
    </row>
    <row r="96" spans="1:51">
      <c r="A96" s="277"/>
      <c r="B96" s="277"/>
      <c r="R96" s="277"/>
      <c r="AX96" s="282"/>
      <c r="AY96" s="282"/>
    </row>
    <row r="97" spans="1:51">
      <c r="A97" s="277"/>
      <c r="B97" s="277"/>
      <c r="R97" s="277"/>
      <c r="AX97" s="281"/>
      <c r="AY97" s="281"/>
    </row>
    <row r="98" spans="1:51">
      <c r="A98" s="277"/>
      <c r="B98" s="277"/>
      <c r="R98" s="277"/>
      <c r="AX98" s="281"/>
      <c r="AY98" s="281"/>
    </row>
    <row r="99" spans="1:51">
      <c r="A99" s="277"/>
      <c r="B99" s="277"/>
      <c r="R99" s="277"/>
      <c r="AX99" s="282"/>
      <c r="AY99" s="281"/>
    </row>
    <row r="100" spans="1:51">
      <c r="A100" s="277"/>
      <c r="B100" s="277"/>
      <c r="R100" s="277"/>
      <c r="AX100" s="281"/>
      <c r="AY100" s="281"/>
    </row>
    <row r="101" spans="1:51">
      <c r="A101" s="277"/>
      <c r="B101" s="277"/>
      <c r="R101" s="277"/>
      <c r="AX101" s="281"/>
      <c r="AY101" s="282"/>
    </row>
    <row r="102" spans="1:51">
      <c r="A102" s="277"/>
      <c r="B102" s="277"/>
      <c r="R102" s="277"/>
      <c r="AX102" s="282"/>
      <c r="AY102" s="281"/>
    </row>
    <row r="103" spans="1:51">
      <c r="A103" s="277"/>
      <c r="B103" s="277"/>
      <c r="R103" s="277"/>
      <c r="AX103" s="281"/>
      <c r="AY103" s="281"/>
    </row>
    <row r="104" spans="1:51">
      <c r="A104" s="277"/>
      <c r="B104" s="277"/>
      <c r="R104" s="277"/>
      <c r="AX104" s="281"/>
      <c r="AY104" s="281"/>
    </row>
    <row r="105" spans="1:51">
      <c r="A105" s="277"/>
      <c r="B105" s="277"/>
      <c r="R105" s="277"/>
      <c r="AX105" s="281"/>
      <c r="AY105" s="282"/>
    </row>
    <row r="106" spans="1:51">
      <c r="A106" s="277"/>
      <c r="B106" s="277"/>
      <c r="R106" s="277"/>
      <c r="AX106" s="281"/>
      <c r="AY106" s="282"/>
    </row>
    <row r="107" spans="1:51">
      <c r="A107" s="277"/>
      <c r="B107" s="277"/>
      <c r="R107" s="277"/>
      <c r="AX107" s="281"/>
      <c r="AY107" s="281"/>
    </row>
    <row r="108" spans="1:51">
      <c r="A108" s="277"/>
      <c r="B108" s="277"/>
      <c r="R108" s="277"/>
      <c r="AX108" s="281"/>
      <c r="AY108" s="282"/>
    </row>
    <row r="109" spans="1:51">
      <c r="A109" s="277"/>
      <c r="B109" s="277"/>
      <c r="R109" s="277"/>
      <c r="AX109" s="281"/>
      <c r="AY109" s="281"/>
    </row>
    <row r="110" spans="1:51">
      <c r="A110" s="277"/>
      <c r="B110" s="277"/>
      <c r="R110" s="277"/>
      <c r="AX110" s="281"/>
      <c r="AY110" s="281"/>
    </row>
    <row r="111" spans="1:51">
      <c r="A111" s="277"/>
      <c r="B111" s="277"/>
      <c r="R111" s="277"/>
      <c r="AX111" s="281"/>
      <c r="AY111" s="282"/>
    </row>
    <row r="112" spans="1:51">
      <c r="A112" s="277"/>
      <c r="B112" s="277"/>
      <c r="R112" s="277"/>
      <c r="AX112" s="281"/>
      <c r="AY112" s="281"/>
    </row>
    <row r="113" spans="1:51">
      <c r="A113" s="277"/>
      <c r="B113" s="277"/>
      <c r="R113" s="277"/>
      <c r="AX113" s="281"/>
      <c r="AY113" s="282"/>
    </row>
    <row r="114" spans="1:51">
      <c r="A114" s="277"/>
      <c r="B114" s="277"/>
      <c r="R114" s="277"/>
      <c r="AX114" s="281"/>
      <c r="AY114" s="281"/>
    </row>
    <row r="115" spans="1:51">
      <c r="A115" s="277"/>
      <c r="B115" s="277"/>
      <c r="R115" s="277"/>
      <c r="AX115" s="281"/>
      <c r="AY115" s="281"/>
    </row>
    <row r="116" spans="1:51">
      <c r="A116" s="277"/>
      <c r="B116" s="277"/>
      <c r="R116" s="277"/>
      <c r="AX116" s="281"/>
      <c r="AY116" s="282"/>
    </row>
    <row r="117" spans="1:51">
      <c r="A117" s="277"/>
      <c r="B117" s="277"/>
      <c r="R117" s="277"/>
      <c r="AX117" s="281"/>
      <c r="AY117" s="281"/>
    </row>
    <row r="118" spans="1:51">
      <c r="A118" s="277"/>
      <c r="B118" s="277"/>
      <c r="R118" s="277"/>
      <c r="AY118" s="282"/>
    </row>
    <row r="119" spans="1:51">
      <c r="A119" s="277"/>
      <c r="B119" s="277"/>
      <c r="R119" s="277"/>
      <c r="AY119" s="282"/>
    </row>
    <row r="120" spans="1:51">
      <c r="A120" s="277"/>
      <c r="B120" s="277"/>
      <c r="R120" s="277"/>
      <c r="AY120" s="281"/>
    </row>
    <row r="121" spans="1:51">
      <c r="A121" s="277"/>
      <c r="B121" s="277"/>
      <c r="R121" s="277"/>
      <c r="AY121" s="282"/>
    </row>
    <row r="122" spans="1:51">
      <c r="A122" s="277"/>
      <c r="B122" s="277"/>
      <c r="R122" s="277"/>
      <c r="AY122" s="281"/>
    </row>
    <row r="123" spans="1:51">
      <c r="A123" s="277"/>
      <c r="B123" s="277"/>
      <c r="R123" s="277"/>
      <c r="AY123" s="282"/>
    </row>
    <row r="124" spans="1:51">
      <c r="A124" s="277"/>
      <c r="B124" s="277"/>
      <c r="R124" s="277"/>
      <c r="AY124" s="282"/>
    </row>
    <row r="125" spans="1:51">
      <c r="A125" s="277"/>
      <c r="B125" s="277"/>
      <c r="R125" s="277"/>
      <c r="AY125" s="281"/>
    </row>
    <row r="126" spans="1:51">
      <c r="A126" s="277"/>
      <c r="B126" s="277"/>
      <c r="R126" s="277"/>
      <c r="AY126" s="281"/>
    </row>
    <row r="127" spans="1:51">
      <c r="A127" s="277"/>
      <c r="B127" s="277"/>
      <c r="R127" s="277"/>
      <c r="AY127" s="281"/>
    </row>
    <row r="128" spans="1:51">
      <c r="A128" s="277"/>
      <c r="B128" s="277"/>
      <c r="R128" s="277"/>
      <c r="AY128" s="281"/>
    </row>
    <row r="129" spans="1:51">
      <c r="A129" s="277"/>
      <c r="B129" s="277"/>
      <c r="R129" s="277"/>
      <c r="AY129" s="281"/>
    </row>
    <row r="130" spans="1:51">
      <c r="A130" s="277"/>
      <c r="B130" s="277"/>
      <c r="R130" s="277"/>
      <c r="AY130" s="281"/>
    </row>
    <row r="131" spans="1:51">
      <c r="A131" s="277"/>
      <c r="B131" s="277"/>
      <c r="R131" s="277"/>
      <c r="AY131" s="281"/>
    </row>
  </sheetData>
  <sheetProtection sheet="1"/>
  <customSheetViews>
    <customSheetView guid="{D1431318-1DB8-4C45-813B-5A8065DFC797}" showPageBreaks="1" zeroValues="0" printArea="1" view="pageBreakPreview">
      <selection activeCell="Y48" sqref="Y48"/>
      <pageMargins left="0.33" right="0.3" top="0.52" bottom="0.75" header="0.3" footer="0.3"/>
      <printOptions horizontalCentered="1" verticalCentered="1"/>
      <pageSetup scale="73" orientation="portrait" blackAndWhite="1" r:id="rId1"/>
    </customSheetView>
  </customSheetViews>
  <mergeCells count="77">
    <mergeCell ref="E1:N1"/>
    <mergeCell ref="I24:J24"/>
    <mergeCell ref="F24:G24"/>
    <mergeCell ref="D18:E18"/>
    <mergeCell ref="F31:G31"/>
    <mergeCell ref="C4:D4"/>
    <mergeCell ref="F28:G28"/>
    <mergeCell ref="J28:L28"/>
    <mergeCell ref="F4:G4"/>
    <mergeCell ref="D21:E21"/>
    <mergeCell ref="H18:I18"/>
    <mergeCell ref="K18:L18"/>
    <mergeCell ref="H21:I21"/>
    <mergeCell ref="I2:J2"/>
    <mergeCell ref="K2:L2"/>
    <mergeCell ref="M28:N28"/>
    <mergeCell ref="D46:E46"/>
    <mergeCell ref="G46:H46"/>
    <mergeCell ref="J46:K46"/>
    <mergeCell ref="F34:G34"/>
    <mergeCell ref="J34:L34"/>
    <mergeCell ref="D37:E37"/>
    <mergeCell ref="G37:H37"/>
    <mergeCell ref="J37:K37"/>
    <mergeCell ref="AI54:AJ54"/>
    <mergeCell ref="K51:L51"/>
    <mergeCell ref="P51:Q51"/>
    <mergeCell ref="J52:K52"/>
    <mergeCell ref="M52:N52"/>
    <mergeCell ref="P52:Q52"/>
    <mergeCell ref="Z54:AA54"/>
    <mergeCell ref="AC54:AD54"/>
    <mergeCell ref="AF54:AG54"/>
    <mergeCell ref="K53:L53"/>
    <mergeCell ref="P53:Q53"/>
    <mergeCell ref="P4:Q4"/>
    <mergeCell ref="K7:L7"/>
    <mergeCell ref="P7:Q7"/>
    <mergeCell ref="G14:H14"/>
    <mergeCell ref="J14:K14"/>
    <mergeCell ref="K9:L9"/>
    <mergeCell ref="L4:M4"/>
    <mergeCell ref="I4:J4"/>
    <mergeCell ref="M14:N14"/>
    <mergeCell ref="P14:Q14"/>
    <mergeCell ref="G57:H57"/>
    <mergeCell ref="J57:K57"/>
    <mergeCell ref="P57:Q57"/>
    <mergeCell ref="P9:Q9"/>
    <mergeCell ref="M31:N31"/>
    <mergeCell ref="P31:Q31"/>
    <mergeCell ref="O18:P18"/>
    <mergeCell ref="P37:Q37"/>
    <mergeCell ref="K40:L40"/>
    <mergeCell ref="P40:Q40"/>
    <mergeCell ref="K42:L42"/>
    <mergeCell ref="P34:Q34"/>
    <mergeCell ref="F52:G52"/>
    <mergeCell ref="G49:H49"/>
    <mergeCell ref="J49:K49"/>
    <mergeCell ref="M46:N46"/>
    <mergeCell ref="K61:L61"/>
    <mergeCell ref="P61:Q61"/>
    <mergeCell ref="P42:Q42"/>
    <mergeCell ref="K21:L21"/>
    <mergeCell ref="O21:P21"/>
    <mergeCell ref="M49:N49"/>
    <mergeCell ref="P28:Q28"/>
    <mergeCell ref="P49:Q49"/>
    <mergeCell ref="M37:N37"/>
    <mergeCell ref="J31:K31"/>
    <mergeCell ref="O24:P24"/>
    <mergeCell ref="L24:M24"/>
    <mergeCell ref="K59:L59"/>
    <mergeCell ref="P59:Q59"/>
    <mergeCell ref="P46:Q46"/>
    <mergeCell ref="M34:N34"/>
  </mergeCells>
  <printOptions horizontalCentered="1" verticalCentered="1"/>
  <pageMargins left="0.33" right="0.3" top="0.52" bottom="0.75" header="0.3" footer="0.3"/>
  <pageSetup scale="73"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86</vt:i4>
      </vt:variant>
    </vt:vector>
  </HeadingPairs>
  <TitlesOfParts>
    <vt:vector size="110" baseType="lpstr">
      <vt:lpstr>Instructions</vt:lpstr>
      <vt:lpstr>Intro-Basic</vt:lpstr>
      <vt:lpstr>Design Summary</vt:lpstr>
      <vt:lpstr>Design Sketch</vt:lpstr>
      <vt:lpstr>Trench</vt:lpstr>
      <vt:lpstr>Bed </vt:lpstr>
      <vt:lpstr>Mound &lt;1%</vt:lpstr>
      <vt:lpstr>Mound &gt;1%</vt:lpstr>
      <vt:lpstr>Mound Mat.</vt:lpstr>
      <vt:lpstr>At-Grade</vt:lpstr>
      <vt:lpstr>Pres. Dist.</vt:lpstr>
      <vt:lpstr>Non-Level Pres. Dist.</vt:lpstr>
      <vt:lpstr>Pump-Basic (1) </vt:lpstr>
      <vt:lpstr>Pump Tank (1) Demand Dose</vt:lpstr>
      <vt:lpstr>Pump-Tank (1) Time Dose</vt:lpstr>
      <vt:lpstr>Pump-Basic (2)</vt:lpstr>
      <vt:lpstr>Pump Tank (2) Demand Dose</vt:lpstr>
      <vt:lpstr>Pump Tank (2) Time Dose</vt:lpstr>
      <vt:lpstr>Pump-Collection</vt:lpstr>
      <vt:lpstr>Table IX &amp; IXa</vt:lpstr>
      <vt:lpstr>Table I</vt:lpstr>
      <vt:lpstr>Table IV</vt:lpstr>
      <vt:lpstr>Drop-Down Lists</vt:lpstr>
      <vt:lpstr>Sheet1</vt:lpstr>
      <vt:lpstr>'Pump-Basic (2)'!_10___45_gpm</vt:lpstr>
      <vt:lpstr>_10___45_gpm</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'Mound &lt;1%'!MediaLoadRate</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'At-Grade'!Print_Area</vt:lpstr>
      <vt:lpstr>'Bed '!Print_Area</vt:lpstr>
      <vt:lpstr>'Design Sketch'!Print_Area</vt:lpstr>
      <vt:lpstr>'Design Summary'!Print_Area</vt:lpstr>
      <vt:lpstr>'Drop-Down Lists'!Print_Area</vt:lpstr>
      <vt:lpstr>'Intro-Basic'!Print_Area</vt:lpstr>
      <vt:lpstr>'Mound &lt;1%'!Print_Area</vt:lpstr>
      <vt:lpstr>'Mound &gt;1%'!Print_Area</vt:lpstr>
      <vt:lpstr>'Mound Mat.'!Print_Area</vt:lpstr>
      <vt:lpstr>'Non-Level Pres. Dist.'!Print_Area</vt:lpstr>
      <vt:lpstr>'Pres. Dist.'!Print_Area</vt:lpstr>
      <vt:lpstr>'Pump Tank (1) Demand Dose'!Print_Area</vt:lpstr>
      <vt:lpstr>'Pump Tank (2) Demand Dose'!Print_Area</vt:lpstr>
      <vt:lpstr>'Pump Tank (2) Time Dose'!Print_Area</vt:lpstr>
      <vt:lpstr>'Pump-Basic (1) '!Print_Area</vt:lpstr>
      <vt:lpstr>'Pump-Basic (2)'!Print_Area</vt:lpstr>
      <vt:lpstr>'Pump-Collection'!Print_Area</vt:lpstr>
      <vt:lpstr>'Pump-Tank (1) Time Dose'!Print_Area</vt:lpstr>
      <vt:lpstr>'Table I'!Print_Area</vt:lpstr>
      <vt:lpstr>'Table IV'!Print_Area</vt:lpstr>
      <vt:lpstr>'Table IX &amp; IXa'!Print_Area</vt:lpstr>
      <vt:lpstr>Trench!Print_Area</vt:lpstr>
      <vt:lpstr>'Design Summary'!Print_Titles</vt:lpstr>
      <vt:lpstr>'Non-Level Pres. Dist.'!Print_Titles</vt:lpstr>
      <vt:lpstr>'Pres. Dist.'!Print_Titles</vt:lpstr>
      <vt:lpstr>'Pump Tank (1) Demand Dose'!Print_Titles</vt:lpstr>
      <vt:lpstr>'Pump-Collection'!Print_Titles</vt:lpstr>
      <vt:lpstr>'Table I'!Print_Titles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dc:creator>
  <cp:lastModifiedBy>Klatt, Shannon L.</cp:lastModifiedBy>
  <cp:lastPrinted>2016-09-08T19:47:32Z</cp:lastPrinted>
  <dcterms:created xsi:type="dcterms:W3CDTF">2008-02-21T14:08:28Z</dcterms:created>
  <dcterms:modified xsi:type="dcterms:W3CDTF">2026-04-09T18:11:34Z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